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SBasirat\Desktop\"/>
    </mc:Choice>
  </mc:AlternateContent>
  <xr:revisionPtr revIDLastSave="0" documentId="8_{1D7011AA-CF0E-4859-B162-BEFEBC7BB824}" xr6:coauthVersionLast="47" xr6:coauthVersionMax="47" xr10:uidLastSave="{00000000-0000-0000-0000-000000000000}"/>
  <bookViews>
    <workbookView xWindow="-120" yWindow="-120" windowWidth="29040" windowHeight="15720" tabRatio="829" activeTab="1" xr2:uid="{9D5491A6-3D81-421F-BAFA-1361FA19AA15}"/>
  </bookViews>
  <sheets>
    <sheet name="READ ME" sheetId="15" r:id="rId1"/>
    <sheet name="Ironmaking value chain" sheetId="1" r:id="rId2"/>
    <sheet name="Magnetite desposits" sheetId="4" r:id="rId3"/>
    <sheet name="Potential DR-grade supply" sheetId="19" r:id="rId4"/>
    <sheet name="High-grade iron ore indices" sheetId="17" r:id="rId5"/>
  </sheets>
  <externalReferences>
    <externalReference r:id="rId6"/>
  </externalReferences>
  <definedNames>
    <definedName name="_xlnm._FilterDatabase" localSheetId="1" hidden="1">'Ironmaking value chain'!$A$1:$S$31</definedName>
    <definedName name="_xlnm._FilterDatabase" localSheetId="2" hidden="1">'Magnetite desposits'!$A$1:$BF$85</definedName>
    <definedName name="_xlnm._FilterDatabase" localSheetId="3" hidden="1">'Potential DR-grade supply'!$A$1:$AX$54</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'READ ME'!$A$2:$J$83</definedName>
    <definedName name="stage">#REF!</definedName>
    <definedName name="status">[1]List!$H$4:$H$7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 i="4" l="1"/>
  <c r="BF85" i="4"/>
  <c r="BD85" i="4"/>
  <c r="BE85" i="4"/>
  <c r="AY3" i="19"/>
  <c r="AY4" i="19"/>
  <c r="AY5" i="19"/>
  <c r="AY6" i="19"/>
  <c r="AY7" i="19"/>
  <c r="AY8" i="19"/>
  <c r="AY9" i="19"/>
  <c r="AY10" i="19"/>
  <c r="AY11" i="19"/>
  <c r="AY12" i="19"/>
  <c r="AY13" i="19"/>
  <c r="AY14" i="19"/>
  <c r="AY15" i="19"/>
  <c r="AY16" i="19"/>
  <c r="AY17" i="19"/>
  <c r="AY18" i="19"/>
  <c r="AY19" i="19"/>
  <c r="AY20" i="19"/>
  <c r="AY21" i="19"/>
  <c r="AY22" i="19"/>
  <c r="AY23" i="19"/>
  <c r="AY24" i="19"/>
  <c r="AY25" i="19"/>
  <c r="AY26" i="19"/>
  <c r="AY27" i="19"/>
  <c r="AY28" i="19"/>
  <c r="AY29" i="19"/>
  <c r="AY30" i="19"/>
  <c r="AY31" i="19"/>
  <c r="AY32" i="19"/>
  <c r="AY33" i="19"/>
  <c r="AY34" i="19"/>
  <c r="AY35" i="19"/>
  <c r="AY36" i="19"/>
  <c r="AY37" i="19"/>
  <c r="AY38" i="19"/>
  <c r="AY39" i="19"/>
  <c r="AY40" i="19"/>
  <c r="AY41" i="19"/>
  <c r="AY42" i="19"/>
  <c r="AY43" i="19"/>
  <c r="AY44" i="19"/>
  <c r="AY45" i="19"/>
  <c r="AY46" i="19"/>
  <c r="AY47" i="19"/>
  <c r="AY48" i="19"/>
  <c r="AY49" i="19"/>
  <c r="AY50" i="19"/>
  <c r="AY51" i="19"/>
  <c r="AY52" i="19"/>
  <c r="AY53" i="19"/>
  <c r="AY54" i="19"/>
  <c r="AY2" i="19"/>
  <c r="AF85" i="4"/>
  <c r="AF54" i="19"/>
  <c r="N53" i="19"/>
  <c r="N54" i="19"/>
  <c r="J54" i="19"/>
  <c r="AF13" i="4"/>
  <c r="AF53" i="19" l="1"/>
  <c r="J53" i="19"/>
  <c r="AR52" i="19"/>
  <c r="AF52" i="19"/>
  <c r="N52" i="19"/>
  <c r="J52" i="19"/>
  <c r="AF47" i="19" l="1"/>
  <c r="AF46" i="19"/>
  <c r="AF44" i="19"/>
  <c r="N47" i="19" l="1"/>
  <c r="J47" i="19"/>
  <c r="J46" i="19"/>
  <c r="N45" i="19"/>
  <c r="N46" i="19"/>
  <c r="AU28" i="19" l="1"/>
  <c r="AR36" i="19"/>
  <c r="AS16" i="19"/>
  <c r="AO16" i="19"/>
  <c r="AP16" i="19"/>
  <c r="AR12" i="19"/>
  <c r="AU7" i="19"/>
  <c r="AT7" i="19" s="1"/>
  <c r="AS13" i="19"/>
  <c r="AR9" i="4"/>
  <c r="AF43" i="19" l="1"/>
  <c r="N44" i="19"/>
  <c r="J45" i="19"/>
  <c r="AF36" i="19" l="1"/>
  <c r="AF37" i="19"/>
  <c r="AF38" i="19"/>
  <c r="AF39" i="19"/>
  <c r="AF40" i="19"/>
  <c r="AF41" i="19"/>
  <c r="AF42" i="19"/>
  <c r="J43" i="19" l="1"/>
  <c r="N42" i="19"/>
  <c r="N43" i="19"/>
  <c r="N41" i="19"/>
  <c r="J15" i="19"/>
  <c r="N21" i="19"/>
  <c r="J21" i="19"/>
  <c r="J22" i="19"/>
  <c r="N22" i="19"/>
  <c r="S22" i="19"/>
  <c r="AF22" i="19"/>
  <c r="S39" i="19"/>
  <c r="N39" i="19"/>
  <c r="S7" i="19"/>
  <c r="J39" i="19"/>
  <c r="N38" i="19"/>
  <c r="J38" i="19"/>
  <c r="AO37" i="19"/>
  <c r="K33" i="19"/>
  <c r="J33" i="19" s="1"/>
  <c r="K40" i="19"/>
  <c r="L40" i="19"/>
  <c r="M40" i="19"/>
  <c r="O40" i="19"/>
  <c r="P40" i="19"/>
  <c r="AF28" i="19"/>
  <c r="AF29" i="19"/>
  <c r="AF30" i="19"/>
  <c r="AF31" i="19"/>
  <c r="AF32" i="19"/>
  <c r="AF33" i="19"/>
  <c r="AO28" i="19"/>
  <c r="N28" i="19"/>
  <c r="N29" i="19"/>
  <c r="N30" i="19"/>
  <c r="N31" i="19"/>
  <c r="N32" i="19"/>
  <c r="N33" i="19"/>
  <c r="N34" i="19"/>
  <c r="N35" i="19"/>
  <c r="N37" i="19"/>
  <c r="J28" i="19"/>
  <c r="J29" i="19"/>
  <c r="J30" i="19"/>
  <c r="J31" i="19"/>
  <c r="J32" i="19"/>
  <c r="J37" i="19"/>
  <c r="N27" i="19"/>
  <c r="J27" i="19"/>
  <c r="L23" i="19"/>
  <c r="K23" i="19"/>
  <c r="AO18" i="19"/>
  <c r="AR6" i="19"/>
  <c r="J6" i="19"/>
  <c r="J7" i="19"/>
  <c r="N15" i="19"/>
  <c r="N16" i="19"/>
  <c r="N17" i="19"/>
  <c r="N18" i="19"/>
  <c r="N19" i="19"/>
  <c r="N20" i="19"/>
  <c r="N23" i="19"/>
  <c r="N24" i="19"/>
  <c r="N25" i="19"/>
  <c r="N26" i="19"/>
  <c r="J18" i="19"/>
  <c r="J19" i="19"/>
  <c r="J20" i="19"/>
  <c r="J24" i="19"/>
  <c r="J25" i="19"/>
  <c r="AF16" i="19"/>
  <c r="AF17" i="19"/>
  <c r="AF18" i="19"/>
  <c r="AF19" i="19"/>
  <c r="AF23" i="19"/>
  <c r="AF24" i="19"/>
  <c r="AF25" i="19"/>
  <c r="AF26" i="19"/>
  <c r="AF27" i="19"/>
  <c r="AF34" i="19"/>
  <c r="AF35" i="19"/>
  <c r="AT25" i="19"/>
  <c r="W14" i="19"/>
  <c r="S14" i="19"/>
  <c r="N36" i="19"/>
  <c r="J36" i="19"/>
  <c r="S36" i="19"/>
  <c r="AR9" i="19"/>
  <c r="AO9" i="19"/>
  <c r="AR8" i="19"/>
  <c r="N6" i="19"/>
  <c r="N7" i="19"/>
  <c r="N8" i="19"/>
  <c r="S8" i="19"/>
  <c r="S11" i="19"/>
  <c r="AF6" i="19"/>
  <c r="AF7" i="19"/>
  <c r="AF8" i="19"/>
  <c r="AF9" i="19"/>
  <c r="AF10" i="19"/>
  <c r="AF12" i="19"/>
  <c r="AF13" i="19"/>
  <c r="AF14" i="19"/>
  <c r="AF11" i="19"/>
  <c r="N10" i="19"/>
  <c r="N12" i="19"/>
  <c r="N13" i="19"/>
  <c r="N14" i="19"/>
  <c r="N11" i="19"/>
  <c r="J12" i="19"/>
  <c r="J13" i="19"/>
  <c r="J14" i="19"/>
  <c r="J16" i="19"/>
  <c r="J17" i="19"/>
  <c r="J11" i="19"/>
  <c r="J23" i="19" l="1"/>
  <c r="J9" i="19"/>
  <c r="S9" i="19" s="1"/>
  <c r="J10" i="19"/>
  <c r="AO3" i="19"/>
  <c r="N3" i="19"/>
  <c r="N4" i="19"/>
  <c r="N5" i="19"/>
  <c r="N9" i="19"/>
  <c r="AF3" i="19"/>
  <c r="AF4" i="19"/>
  <c r="AF5" i="19"/>
  <c r="T5" i="19"/>
  <c r="S5" i="19"/>
  <c r="AO5" i="19"/>
  <c r="J3" i="19"/>
  <c r="J5" i="19"/>
  <c r="J8" i="19"/>
  <c r="AS2" i="19"/>
  <c r="AR2" i="19"/>
  <c r="AO2" i="19"/>
  <c r="AC2" i="19"/>
  <c r="AB2" i="19"/>
  <c r="AA2" i="19"/>
  <c r="Z2" i="19"/>
  <c r="J2" i="19"/>
  <c r="N2" i="19"/>
  <c r="K85" i="4"/>
  <c r="I85" i="4" s="1"/>
  <c r="M8" i="4"/>
  <c r="BF3" i="4"/>
  <c r="BF4" i="4"/>
  <c r="BF7" i="4"/>
  <c r="BF8" i="4"/>
  <c r="BF9" i="4"/>
  <c r="BF10" i="4"/>
  <c r="BF11" i="4"/>
  <c r="BF12" i="4"/>
  <c r="BF13" i="4"/>
  <c r="BF14" i="4"/>
  <c r="BF15" i="4"/>
  <c r="BF16" i="4"/>
  <c r="BF17" i="4"/>
  <c r="BF18" i="4"/>
  <c r="BF19" i="4"/>
  <c r="BF20" i="4"/>
  <c r="BF21" i="4"/>
  <c r="BF22" i="4"/>
  <c r="BF23" i="4"/>
  <c r="BF25" i="4"/>
  <c r="BF26" i="4"/>
  <c r="BF28" i="4"/>
  <c r="BF29" i="4"/>
  <c r="BF30" i="4"/>
  <c r="BF31" i="4"/>
  <c r="BF32" i="4"/>
  <c r="BF33" i="4"/>
  <c r="BF34" i="4"/>
  <c r="BF35" i="4"/>
  <c r="BF36" i="4"/>
  <c r="BF37" i="4"/>
  <c r="BF38" i="4"/>
  <c r="BF39" i="4"/>
  <c r="BF40" i="4"/>
  <c r="BF41" i="4"/>
  <c r="BF42" i="4"/>
  <c r="BF43" i="4"/>
  <c r="BF44" i="4"/>
  <c r="BF45" i="4"/>
  <c r="BF46" i="4"/>
  <c r="BF48" i="4"/>
  <c r="BF50" i="4"/>
  <c r="BF51" i="4"/>
  <c r="BF52" i="4"/>
  <c r="BF53" i="4"/>
  <c r="BF54" i="4"/>
  <c r="BF55" i="4"/>
  <c r="BF57" i="4"/>
  <c r="BF58" i="4"/>
  <c r="BF59" i="4"/>
  <c r="BF60" i="4"/>
  <c r="BF61" i="4"/>
  <c r="BF62" i="4"/>
  <c r="BF63" i="4"/>
  <c r="BF64" i="4"/>
  <c r="BF65" i="4"/>
  <c r="BF66" i="4"/>
  <c r="BF67" i="4"/>
  <c r="BF68" i="4"/>
  <c r="BF71" i="4"/>
  <c r="BF75" i="4"/>
  <c r="BF77" i="4"/>
  <c r="BF78" i="4"/>
  <c r="BF79" i="4"/>
  <c r="BF80" i="4"/>
  <c r="BF81" i="4"/>
  <c r="BF83" i="4"/>
  <c r="BF2" i="4"/>
  <c r="BD3" i="4"/>
  <c r="BD4" i="4"/>
  <c r="BD5" i="4"/>
  <c r="BD6" i="4"/>
  <c r="BD7" i="4"/>
  <c r="BD8" i="4"/>
  <c r="BD9" i="4"/>
  <c r="BD10" i="4"/>
  <c r="BD11" i="4"/>
  <c r="BD12" i="4"/>
  <c r="BD13" i="4"/>
  <c r="BD14" i="4"/>
  <c r="BD15" i="4"/>
  <c r="BD16" i="4"/>
  <c r="BD17" i="4"/>
  <c r="BD18" i="4"/>
  <c r="BD19" i="4"/>
  <c r="BD20" i="4"/>
  <c r="BD21" i="4"/>
  <c r="BD22" i="4"/>
  <c r="BD23" i="4"/>
  <c r="BD24" i="4"/>
  <c r="BD25" i="4"/>
  <c r="BD26" i="4"/>
  <c r="BD27" i="4"/>
  <c r="BD28" i="4"/>
  <c r="BD29" i="4"/>
  <c r="BD30" i="4"/>
  <c r="BD31" i="4"/>
  <c r="BD32" i="4"/>
  <c r="BD33" i="4"/>
  <c r="BD34" i="4"/>
  <c r="BD35" i="4"/>
  <c r="BD36" i="4"/>
  <c r="BD37" i="4"/>
  <c r="BD38" i="4"/>
  <c r="BD39" i="4"/>
  <c r="BD40" i="4"/>
  <c r="BD41" i="4"/>
  <c r="BD42" i="4"/>
  <c r="BD43" i="4"/>
  <c r="BD44" i="4"/>
  <c r="BD45" i="4"/>
  <c r="BD46" i="4"/>
  <c r="BD47" i="4"/>
  <c r="BD48" i="4"/>
  <c r="BD49" i="4"/>
  <c r="BD50" i="4"/>
  <c r="BD51" i="4"/>
  <c r="BD52" i="4"/>
  <c r="BD53" i="4"/>
  <c r="BD54" i="4"/>
  <c r="BD55" i="4"/>
  <c r="BD56" i="4"/>
  <c r="BD57" i="4"/>
  <c r="BD58" i="4"/>
  <c r="BD59" i="4"/>
  <c r="BD60" i="4"/>
  <c r="BD61" i="4"/>
  <c r="BD62" i="4"/>
  <c r="BD63" i="4"/>
  <c r="BD64" i="4"/>
  <c r="BD65" i="4"/>
  <c r="BD66" i="4"/>
  <c r="BD67" i="4"/>
  <c r="BD68" i="4"/>
  <c r="BD69" i="4"/>
  <c r="BD70" i="4"/>
  <c r="BD71" i="4"/>
  <c r="BD72" i="4"/>
  <c r="BD73" i="4"/>
  <c r="BD74" i="4"/>
  <c r="BD75" i="4"/>
  <c r="BD76" i="4"/>
  <c r="BD77" i="4"/>
  <c r="BD78" i="4"/>
  <c r="BD79" i="4"/>
  <c r="BD80" i="4"/>
  <c r="BD81" i="4"/>
  <c r="BD82" i="4"/>
  <c r="BD83" i="4"/>
  <c r="BD84" i="4"/>
  <c r="BD2" i="4"/>
  <c r="BE5" i="4"/>
  <c r="BE6" i="4"/>
  <c r="BE7" i="4"/>
  <c r="BE9" i="4"/>
  <c r="BE10" i="4"/>
  <c r="BE11" i="4"/>
  <c r="BE12" i="4"/>
  <c r="BE13" i="4"/>
  <c r="BE14" i="4"/>
  <c r="BE15" i="4"/>
  <c r="BE16" i="4"/>
  <c r="BE17" i="4"/>
  <c r="BE18" i="4"/>
  <c r="BE19" i="4"/>
  <c r="BE20" i="4"/>
  <c r="BE21" i="4"/>
  <c r="BE22" i="4"/>
  <c r="BE23" i="4"/>
  <c r="BE24" i="4"/>
  <c r="BE25" i="4"/>
  <c r="BE26" i="4"/>
  <c r="BE27" i="4"/>
  <c r="BE28" i="4"/>
  <c r="BE29" i="4"/>
  <c r="BE30" i="4"/>
  <c r="BE31" i="4"/>
  <c r="BE32" i="4"/>
  <c r="BE33" i="4"/>
  <c r="BE34" i="4"/>
  <c r="BE35" i="4"/>
  <c r="BE36" i="4"/>
  <c r="BE37" i="4"/>
  <c r="BE38" i="4"/>
  <c r="BE40" i="4"/>
  <c r="BE42" i="4"/>
  <c r="BE44" i="4"/>
  <c r="BE45" i="4"/>
  <c r="BE46" i="4"/>
  <c r="BE47" i="4"/>
  <c r="BE48" i="4"/>
  <c r="BE49" i="4"/>
  <c r="BE50" i="4"/>
  <c r="BE51" i="4"/>
  <c r="BE52" i="4"/>
  <c r="BE53" i="4"/>
  <c r="BE54" i="4"/>
  <c r="BE55" i="4"/>
  <c r="BE56" i="4"/>
  <c r="BE57" i="4"/>
  <c r="BE58" i="4"/>
  <c r="BE59" i="4"/>
  <c r="BE60" i="4"/>
  <c r="BE62" i="4"/>
  <c r="BE63" i="4"/>
  <c r="BE64" i="4"/>
  <c r="BE65" i="4"/>
  <c r="BE66" i="4"/>
  <c r="BE67" i="4"/>
  <c r="BE68" i="4"/>
  <c r="BE69" i="4"/>
  <c r="BE71" i="4"/>
  <c r="BE74" i="4"/>
  <c r="BE76" i="4"/>
  <c r="BE81" i="4"/>
  <c r="BE83" i="4"/>
  <c r="BE3" i="4"/>
  <c r="BE2" i="4"/>
  <c r="AI2" i="4"/>
  <c r="AF2" i="4"/>
  <c r="T2" i="4"/>
  <c r="S2" i="4"/>
  <c r="I2" i="4"/>
  <c r="AR3" i="4"/>
  <c r="AP3" i="4"/>
  <c r="AO3" i="4"/>
  <c r="AF3" i="4"/>
  <c r="M3" i="4"/>
  <c r="K3" i="4"/>
  <c r="J3" i="4"/>
  <c r="I3" i="4" s="1"/>
  <c r="AF17" i="4"/>
  <c r="AF2" i="19" l="1"/>
  <c r="L3" i="1"/>
  <c r="M4" i="4"/>
  <c r="K19" i="4" l="1"/>
  <c r="AF83" i="4"/>
  <c r="AF60" i="4"/>
  <c r="I60" i="4"/>
  <c r="AF32" i="4"/>
  <c r="I53" i="4"/>
  <c r="M42" i="4"/>
  <c r="I42" i="4"/>
  <c r="AF42" i="4"/>
  <c r="AF16" i="4"/>
  <c r="AF4" i="4"/>
  <c r="AF15" i="4"/>
  <c r="AF11" i="4"/>
  <c r="AF14" i="4"/>
  <c r="AF8" i="4"/>
  <c r="AF10" i="4"/>
  <c r="AF18" i="4"/>
  <c r="AF12" i="4"/>
  <c r="AF7" i="4"/>
  <c r="AF20" i="4"/>
  <c r="AF26" i="4"/>
  <c r="AF25" i="4"/>
  <c r="AF28" i="4"/>
  <c r="AF35" i="4"/>
  <c r="AF29" i="4"/>
  <c r="AF33" i="4"/>
  <c r="AF22" i="4"/>
  <c r="AF34" i="4"/>
  <c r="AF23" i="4"/>
  <c r="AF45" i="4"/>
  <c r="AF40" i="4"/>
  <c r="AF46" i="4"/>
  <c r="AF62" i="4"/>
  <c r="AF44" i="4"/>
  <c r="AF41" i="4"/>
  <c r="AF61" i="4"/>
  <c r="AF38" i="4"/>
  <c r="AF37" i="4"/>
  <c r="AF19" i="4"/>
  <c r="AF36" i="4"/>
  <c r="AF57" i="4"/>
  <c r="AF59" i="4"/>
  <c r="AF54" i="4"/>
  <c r="AF51" i="4"/>
  <c r="AF31" i="4"/>
  <c r="AF78" i="4"/>
  <c r="AF68" i="4"/>
  <c r="AF71" i="4"/>
  <c r="AF64" i="4"/>
  <c r="AF67" i="4"/>
  <c r="AF77" i="4"/>
  <c r="AF75" i="4"/>
  <c r="AF65" i="4"/>
  <c r="AF48" i="4"/>
  <c r="AF52" i="4"/>
  <c r="AF50" i="4"/>
  <c r="AF55" i="4"/>
  <c r="AF58" i="4"/>
  <c r="AF63" i="4"/>
  <c r="AF66" i="4"/>
  <c r="AF81" i="4"/>
  <c r="L14" i="1" l="1"/>
  <c r="I4" i="4" l="1"/>
  <c r="I15" i="4"/>
  <c r="I11" i="4"/>
  <c r="I8" i="4"/>
  <c r="I6" i="4"/>
  <c r="I10" i="4"/>
  <c r="I13" i="4"/>
  <c r="I21" i="4"/>
  <c r="I18" i="4"/>
  <c r="I12" i="4"/>
  <c r="I16" i="4"/>
  <c r="I7" i="4"/>
  <c r="I9" i="4"/>
  <c r="I20" i="4"/>
  <c r="I26" i="4"/>
  <c r="I25" i="4"/>
  <c r="I24" i="4"/>
  <c r="I28" i="4"/>
  <c r="I29" i="4"/>
  <c r="I33" i="4"/>
  <c r="I34" i="4"/>
  <c r="I23" i="4"/>
  <c r="I32" i="4"/>
  <c r="I27" i="4"/>
  <c r="I43" i="4"/>
  <c r="I45" i="4"/>
  <c r="I40" i="4"/>
  <c r="I62" i="4"/>
  <c r="I44" i="4"/>
  <c r="I41" i="4"/>
  <c r="I47" i="4"/>
  <c r="I30" i="4"/>
  <c r="I61" i="4"/>
  <c r="I56" i="4"/>
  <c r="I38" i="4"/>
  <c r="I37" i="4"/>
  <c r="I19" i="4"/>
  <c r="I36" i="4"/>
  <c r="I57" i="4"/>
  <c r="I49" i="4"/>
  <c r="I17" i="4"/>
  <c r="I54" i="4"/>
  <c r="I39" i="4"/>
  <c r="I51" i="4"/>
  <c r="I31" i="4"/>
  <c r="I79" i="4"/>
  <c r="I78" i="4"/>
  <c r="I76" i="4"/>
  <c r="I84" i="4"/>
  <c r="I68" i="4"/>
  <c r="I71" i="4"/>
  <c r="I64" i="4"/>
  <c r="I67" i="4"/>
  <c r="I83" i="4"/>
  <c r="I82" i="4"/>
  <c r="I70" i="4"/>
  <c r="I69" i="4"/>
  <c r="I73" i="4"/>
  <c r="I77" i="4"/>
  <c r="I75" i="4"/>
  <c r="I72" i="4"/>
  <c r="I65" i="4"/>
  <c r="I48" i="4"/>
  <c r="I52" i="4"/>
  <c r="I50" i="4"/>
  <c r="I55" i="4"/>
  <c r="I58" i="4"/>
  <c r="I63" i="4"/>
  <c r="I66" i="4"/>
  <c r="I74" i="4"/>
  <c r="I81" i="4"/>
  <c r="I80" i="4"/>
  <c r="I5" i="4"/>
  <c r="M80" i="4"/>
  <c r="M13" i="4"/>
  <c r="M7" i="4"/>
  <c r="M9" i="4"/>
  <c r="M20" i="4"/>
  <c r="M35" i="4"/>
  <c r="M19" i="4"/>
  <c r="M39" i="4"/>
  <c r="M15" i="4"/>
  <c r="K46" i="4"/>
  <c r="I46" i="4" s="1"/>
  <c r="AU22" i="4"/>
  <c r="J14" i="4"/>
  <c r="I14" i="4" s="1"/>
  <c r="AR71" i="4"/>
  <c r="K59" i="4"/>
  <c r="J59" i="4"/>
  <c r="AO19" i="4"/>
  <c r="AI62" i="4"/>
  <c r="K22" i="4"/>
  <c r="J22" i="4"/>
  <c r="J35" i="4"/>
  <c r="I35" i="4" s="1"/>
  <c r="AT35" i="4"/>
  <c r="I59" i="4" l="1"/>
  <c r="I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tc={BAEE1049-2DF0-4F92-BE14-0B614F3F4389}</author>
    <author>tc={2AAE0826-3D95-4B74-9515-ED792F03D198}</author>
    <author>tc={8B7006CD-00DB-4003-A690-01428BC0E5D0}</author>
    <author>tc={E2C8676F-75FD-4520-AAFC-59DB7CAFBA51}</author>
    <author>tc={9A34B11F-4682-48CB-A476-429667F9C224}</author>
    <author>tc={451D0056-EEF4-4766-9A45-4A9EF031E083}</author>
    <author>tc={BC98A624-61C7-49E5-B886-4E68DE528F48}</author>
    <author>tc={F0BCEF30-1B18-49C6-8417-77A5FF637C9F}</author>
  </authors>
  <commentList>
    <comment ref="AN3" authorId="0" shapeId="0" xr:uid="{BAEE1049-2DF0-4F92-BE14-0B614F3F4389}">
      <text>
        <t>[Threaded comment]
Your version of Excel allows you to read this threaded comment; however, any edits to it will get removed if the file is opened in a newer version of Excel. Learn more: https://go.microsoft.com/fwlink/?linkid=870924
Comment:
    All figures converted to AUD</t>
      </text>
    </comment>
    <comment ref="O8" authorId="1" shapeId="0" xr:uid="{2AAE0826-3D95-4B74-9515-ED792F03D198}">
      <text>
        <t>[Threaded comment]
Your version of Excel allows you to read this threaded comment; however, any edits to it will get removed if the file is opened in a newer version of Excel. Learn more: https://go.microsoft.com/fwlink/?linkid=870924
Comment:
    https://wcsecure.weblink.com.au/pdf/HIO/03038544.pdf</t>
      </text>
    </comment>
    <comment ref="AR8" authorId="2" shapeId="0" xr:uid="{8B7006CD-00DB-4003-A690-01428BC0E5D0}">
      <text>
        <t xml:space="preserve">[Threaded comment]
Your version of Excel allows you to read this threaded comment; however, any edits to it will get removed if the file is opened in a newer version of Excel. Learn more: https://go.microsoft.com/fwlink/?linkid=870924
Comment:
    C1 cost of $US 49.34 and CFR cost of $US 89.94 per dry metric tonne (dmt). </t>
      </text>
    </comment>
    <comment ref="AI21" authorId="3" shapeId="0" xr:uid="{E2C8676F-75FD-4520-AAFC-59DB7CAFBA51}">
      <text>
        <t>[Threaded comment]
Your version of Excel allows you to read this threaded comment; however, any edits to it will get removed if the file is opened in a newer version of Excel. Learn more: https://go.microsoft.com/fwlink/?linkid=870924
Comment:
    15-32%</t>
      </text>
    </comment>
    <comment ref="AH41" authorId="4" shapeId="0" xr:uid="{9A34B11F-4682-48CB-A476-429667F9C224}">
      <text>
        <t>[Threaded comment]
Your version of Excel allows you to read this threaded comment; however, any edits to it will get removed if the file is opened in a newer version of Excel. Learn more: https://go.microsoft.com/fwlink/?linkid=870924
Comment:
    P100</t>
      </text>
    </comment>
    <comment ref="I65" authorId="5" shapeId="0" xr:uid="{451D0056-EEF4-4766-9A45-4A9EF031E083}">
      <text>
        <t>[Threaded comment]
Your version of Excel allows you to read this threaded comment; however, any edits to it will get removed if the file is opened in a newer version of Excel. Learn more: https://go.microsoft.com/fwlink/?linkid=870924
Comment:
    Tenement total resource estimated to be 224Mt @28.8 Fe, including 11.2Mt @41.97 Fe at Weednanna
https://announcements.asx.com.au/asxpdf/20191017/pdf/449l8bvj4vsq53.pdf</t>
      </text>
    </comment>
    <comment ref="S71" authorId="6" shapeId="0" xr:uid="{BC98A624-61C7-49E5-B886-4E68DE528F48}">
      <text>
        <t>[Threaded comment]
Your version of Excel allows you to read this threaded comment; however, any edits to it will get removed if the file is opened in a newer version of Excel. Learn more: https://go.microsoft.com/fwlink/?linkid=870924
Comment:
    Following the ASX announcement of the updated resource estimate, the total Fe is 26% across both deposits (76 Mt). However, the detailed iron ore data has not yet been fully updated.</t>
      </text>
    </comment>
    <comment ref="D84" authorId="7" shapeId="0" xr:uid="{F0BCEF30-1B18-49C6-8417-77A5FF637C9F}">
      <text>
        <t>[Threaded comment]
Your version of Excel allows you to read this threaded comment; however, any edits to it will get removed if the file is opened in a newer version of Excel. Learn more: https://go.microsoft.com/fwlink/?linkid=870924
Comment:
    Updated based on 
https://www.resources.nsw.gov.au/sites/default/files/2023-02/revocation-of-suspension-notice-abterra-australia-pty-ltd.pdf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tc={93976BE5-6475-4BA0-A38A-927F0D5EC207}</author>
    <author>tc={86DFF03A-E668-4568-8A0E-88FB658C5729}</author>
    <author>tc={70019843-4F2A-4540-B90A-2B3CDAA31F5B}</author>
    <author>tc={C97F7BAB-AFDD-4DFB-81B6-A9D9D256DECC}</author>
    <author>tc={121150FB-1216-4C0E-BED8-427B9CADC02A}</author>
    <author>tc={90543FB8-46F9-42FB-856D-D2CC4CE3F541}</author>
    <author>tc={60991580-6EFA-4AC2-9DAB-B67212BB85DB}</author>
    <author>tc={ECC935B6-B2CC-47F7-865D-F2F868AB354D}</author>
    <author>tc={0A85A0E6-D020-47E5-ABD6-EF2EC0812B77}</author>
    <author>tc={7C285682-5134-4396-99CF-B2C6CA42E2F5}</author>
    <author>tc={3A39C22F-D357-4FB7-8A43-ED86BDFC3A64}</author>
    <author>tc={7CBE931E-8E25-4C91-94AF-1909EDDD914D}</author>
    <author>tc={C48759C2-61D1-4AC2-A8C4-42C2F578D346}</author>
    <author>tc={DE281E05-91C3-4E76-B965-A7109F259BBB}</author>
    <author>tc={D95F9E95-C698-4995-8FC6-B1F97345AA91}</author>
    <author>tc={A3B71A1C-EDCB-41AE-BEBE-D6018E7EB323}</author>
    <author>tc={B7B9BDAE-EE95-4C74-90D2-4143EE321CA7}</author>
    <author>tc={0607D34C-B890-4ECE-AAE8-874D63AAEA3E}</author>
    <author>tc={8D06BFD6-D436-4A4E-A74D-87FEC87700CF}</author>
  </authors>
  <commentList>
    <comment ref="AI6" authorId="0" shapeId="0" xr:uid="{93976BE5-6475-4BA0-A38A-927F0D5EC207}">
      <text>
        <t>[Threaded comment]
Your version of Excel allows you to read this threaded comment; however, any edits to it will get removed if the file is opened in a newer version of Excel. Learn more: https://go.microsoft.com/fwlink/?linkid=870924
Comment:
    Mass recovery to BF concentrate 25.46%
Mass recovery to DR concentrate 20.17</t>
      </text>
    </comment>
    <comment ref="AT6" authorId="1" shapeId="0" xr:uid="{86DFF03A-E668-4568-8A0E-88FB658C5729}">
      <text>
        <t xml:space="preserve">[Threaded comment]
Your version of Excel allows you to read this threaded comment; however, any edits to it will get removed if the file is opened in a newer version of Excel. Learn more: https://go.microsoft.com/fwlink/?linkid=870924
Comment:
    BF Concentrate 16 Mtpa
DR Pellets 9 Mtpa </t>
      </text>
    </comment>
    <comment ref="AS7" authorId="2" shapeId="0" xr:uid="{70019843-4F2A-4540-B90A-2B3CDAA31F5B}">
      <text>
        <t>[Threaded comment]
Your version of Excel allows you to read this threaded comment; however, any edits to it will get removed if the file is opened in a newer version of Excel. Learn more: https://go.microsoft.com/fwlink/?linkid=870924
Comment:
    Total All-in sustaining costs AISC</t>
      </text>
    </comment>
    <comment ref="Z10" authorId="3" shapeId="0" xr:uid="{C97F7BAB-AFDD-4DFB-81B6-A9D9D256DECC}">
      <text>
        <t>[Threaded comment]
Your version of Excel allows you to read this threaded comment; however, any edits to it will get removed if the file is opened in a newer version of Excel. Learn more: https://go.microsoft.com/fwlink/?linkid=870924
Comment:
    Figures were copied from the resource statement for concentrate production.</t>
      </text>
    </comment>
    <comment ref="AT11" authorId="4" shapeId="0" xr:uid="{121150FB-1216-4C0E-BED8-427B9CADC02A}">
      <text>
        <t>[Threaded comment]
Your version of Excel allows you to read this threaded comment; however, any edits to it will get removed if the file is opened in a newer version of Excel. Learn more: https://go.microsoft.com/fwlink/?linkid=870924
Comment:
    2.776Mt Iron ore concentrate. 2.637Mt pellet production</t>
      </text>
    </comment>
    <comment ref="AP15" authorId="5" shapeId="0" xr:uid="{90543FB8-46F9-42FB-856D-D2CC4CE3F541}">
      <text>
        <t>[Threaded comment]
Your version of Excel allows you to read this threaded comment; however, any edits to it will get removed if the file is opened in a newer version of Excel. Learn more: https://go.microsoft.com/fwlink/?linkid=870924
Comment:
    DrR=9%</t>
      </text>
    </comment>
    <comment ref="AS16" authorId="6" shapeId="0" xr:uid="{60991580-6EFA-4AC2-9DAB-B67212BB85DB}">
      <text>
        <t>[Threaded comment]
Your version of Excel allows you to read this threaded comment; however, any edits to it will get removed if the file is opened in a newer version of Excel. Learn more: https://go.microsoft.com/fwlink/?linkid=870924
Comment:
    USD to AUD: 0.78 
Pellet cost was also reported at CAD$ 64.14</t>
      </text>
    </comment>
    <comment ref="AS25" authorId="7" shapeId="0" xr:uid="{ECC935B6-B2CC-47F7-865D-F2F868AB354D}">
      <text>
        <t>[Threaded comment]
Your version of Excel allows you to read this threaded comment; however, any edits to it will get removed if the file is opened in a newer version of Excel. Learn more: https://go.microsoft.com/fwlink/?linkid=870924
Comment:
    AISC cost</t>
      </text>
    </comment>
    <comment ref="AT25" authorId="8" shapeId="0" xr:uid="{0A85A0E6-D020-47E5-ABD6-EF2EC0812B77}">
      <text>
        <t>[Threaded comment]
Your version of Excel allows you to read this threaded comment; however, any edits to it will get removed if the file is opened in a newer version of Excel. Learn more: https://go.microsoft.com/fwlink/?linkid=870924
Comment:
    Only about 20% of the nominal capacity is suitable for pellet feed.
https://wcsecure.weblink.com.au/pdf/GEN/02953348.pdf
2022 PFS report mentioned 28.4% for pellet feed.(Page 16)
https://minedocs.com/25/Baniaka-PFS-11162022.pdf</t>
      </text>
    </comment>
    <comment ref="AP28" authorId="9" shapeId="0" xr:uid="{7C285682-5134-4396-99CF-B2C6CA42E2F5}">
      <text>
        <t>[Threaded comment]
Your version of Excel allows you to read this threaded comment; however, any edits to it will get removed if the file is opened in a newer version of Excel. Learn more: https://go.microsoft.com/fwlink/?linkid=870924
Comment:
    Post Tax NPV(10%)</t>
      </text>
    </comment>
    <comment ref="AQ28" authorId="10" shapeId="0" xr:uid="{3A39C22F-D357-4FB7-8A43-ED86BDFC3A64}">
      <text>
        <t>[Threaded comment]
Your version of Excel allows you to read this threaded comment; however, any edits to it will get removed if the file is opened in a newer version of Excel. Learn more: https://go.microsoft.com/fwlink/?linkid=870924
Comment:
    Post Tax IRR</t>
      </text>
    </comment>
    <comment ref="E39" authorId="11" shapeId="0" xr:uid="{7CBE931E-8E25-4C91-94AF-1909EDDD914D}">
      <text>
        <t>[Threaded comment]
Your version of Excel allows you to read this threaded comment; however, any edits to it will get removed if the file is opened in a newer version of Excel. Learn more: https://go.microsoft.com/fwlink/?linkid=870924
Comment:
    The mount Wright pit location were used.</t>
      </text>
    </comment>
    <comment ref="E40" authorId="12" shapeId="0" xr:uid="{C48759C2-61D1-4AC2-A8C4-42C2F578D346}">
      <text>
        <t xml:space="preserve">[Threaded comment]
Your version of Excel allows you to read this threaded comment; however, any edits to it will get removed if the file is opened in a newer version of Excel. Learn more: https://go.microsoft.com/fwlink/?linkid=870924
Comment:
    The Tofo pit location was used. </t>
      </text>
    </comment>
    <comment ref="J40" authorId="13" shapeId="0" xr:uid="{DE281E05-91C3-4E76-B965-A7109F259BBB}">
      <text>
        <t xml:space="preserve">[Threaded comment]
Your version of Excel allows you to read this threaded comment; however, any edits to it will get removed if the file is opened in a newer version of Excel. Learn more: https://go.microsoft.com/fwlink/?linkid=870924
Comment:
    The sum of the details does not match the total. </t>
      </text>
    </comment>
    <comment ref="N40" authorId="14" shapeId="0" xr:uid="{D95F9E95-C698-4995-8FC6-B1F97345AA91}">
      <text>
        <t xml:space="preserve">[Threaded comment]
Your version of Excel allows you to read this threaded comment; however, any edits to it will get removed if the file is opened in a newer version of Excel. Learn more: https://go.microsoft.com/fwlink/?linkid=870924
Comment:
    The sum of the details does not match the total. </t>
      </text>
    </comment>
    <comment ref="E41" authorId="15" shapeId="0" xr:uid="{A3B71A1C-EDCB-41AE-BEBE-D6018E7EB323}">
      <text>
        <t>[Threaded comment]
Your version of Excel allows you to read this threaded comment; however, any edits to it will get removed if the file is opened in a newer version of Excel. Learn more: https://go.microsoft.com/fwlink/?linkid=870924
Comment:
    Kiruna mine location was used.</t>
      </text>
    </comment>
    <comment ref="AN48" authorId="16" shapeId="0" xr:uid="{B7B9BDAE-EE95-4C74-90D2-4143EE321CA7}">
      <text>
        <t>[Threaded comment]
Your version of Excel allows you to read this threaded comment; however, any edits to it will get removed if the file is opened in a newer version of Excel. Learn more: https://go.microsoft.com/fwlink/?linkid=870924
Comment:
    All figures converted to AUD</t>
      </text>
    </comment>
    <comment ref="P49" authorId="17" shapeId="0" xr:uid="{0607D34C-B890-4ECE-AAE8-874D63AAEA3E}">
      <text>
        <t>[Threaded comment]
Your version of Excel allows you to read this threaded comment; however, any edits to it will get removed if the file is opened in a newer version of Excel. Learn more: https://go.microsoft.com/fwlink/?linkid=870924
Comment:
    https://wcsecure.weblink.com.au/pdf/HIO/03038544.pdf</t>
      </text>
    </comment>
    <comment ref="AR49" authorId="18" shapeId="0" xr:uid="{8D06BFD6-D436-4A4E-A74D-87FEC87700CF}">
      <text>
        <t xml:space="preserve">[Threaded comment]
Your version of Excel allows you to read this threaded comment; however, any edits to it will get removed if the file is opened in a newer version of Excel. Learn more: https://go.microsoft.com/fwlink/?linkid=870924
Comment:
    C1 cost of $US 49.34 and CFR cost of $US 89.94 per dry metric tonne (dmt). </t>
      </text>
    </comment>
  </commentList>
</comments>
</file>

<file path=xl/sharedStrings.xml><?xml version="1.0" encoding="utf-8"?>
<sst xmlns="http://schemas.openxmlformats.org/spreadsheetml/2006/main" count="2535" uniqueCount="1273">
  <si>
    <t>Company</t>
  </si>
  <si>
    <t>Facility</t>
  </si>
  <si>
    <t>Fortescue</t>
  </si>
  <si>
    <t>Iron Bridge</t>
  </si>
  <si>
    <t>Karara Mining Limited</t>
  </si>
  <si>
    <t>CITIC Pacific Mining</t>
  </si>
  <si>
    <t>Grange Resources</t>
  </si>
  <si>
    <t xml:space="preserve">Longitude </t>
  </si>
  <si>
    <t>Status</t>
  </si>
  <si>
    <t>Proposed</t>
  </si>
  <si>
    <t xml:space="preserve">Product </t>
  </si>
  <si>
    <t>DRI/HBI</t>
  </si>
  <si>
    <t>Northern Iron Pty Ltd</t>
  </si>
  <si>
    <t>Warrego Mine</t>
  </si>
  <si>
    <t>Karara</t>
  </si>
  <si>
    <t xml:space="preserve">Middleback Ranges </t>
  </si>
  <si>
    <t>Savage River</t>
  </si>
  <si>
    <t>GFG Alliance (under administration)</t>
  </si>
  <si>
    <t>Whyalla Pelletising</t>
  </si>
  <si>
    <t>Concentrate</t>
  </si>
  <si>
    <t xml:space="preserve">Pellet </t>
  </si>
  <si>
    <t>Operating</t>
  </si>
  <si>
    <t xml:space="preserve">Magnetite Mines </t>
  </si>
  <si>
    <t>Razorback</t>
  </si>
  <si>
    <t>Lincoln Minerals</t>
  </si>
  <si>
    <t>Iron Road</t>
  </si>
  <si>
    <t>Central Eyre Iron Project (CEIP)</t>
  </si>
  <si>
    <t>Middleback Ranges (expansion)</t>
  </si>
  <si>
    <t xml:space="preserve">Calix </t>
  </si>
  <si>
    <t>Zesty Green Iron</t>
  </si>
  <si>
    <t>NeoSmelt</t>
  </si>
  <si>
    <t>Rio Tinto</t>
  </si>
  <si>
    <t>BioIron</t>
  </si>
  <si>
    <t xml:space="preserve">GFG Alliance </t>
  </si>
  <si>
    <t>Green Steel WA</t>
  </si>
  <si>
    <t>Mid-West DRI</t>
  </si>
  <si>
    <t>Progressive Green Solutions (PGS)</t>
  </si>
  <si>
    <t xml:space="preserve">Greensteel Australia </t>
  </si>
  <si>
    <t>Latitude</t>
  </si>
  <si>
    <t>Sino Iron</t>
  </si>
  <si>
    <t>SIMEC Mining</t>
  </si>
  <si>
    <t>Notes</t>
  </si>
  <si>
    <t>Balla Balla</t>
  </si>
  <si>
    <t>Balmoral South</t>
  </si>
  <si>
    <t>Magnetite Mines</t>
  </si>
  <si>
    <t>SA</t>
  </si>
  <si>
    <t>Hawkwood</t>
  </si>
  <si>
    <t>QLD</t>
  </si>
  <si>
    <t>TAS</t>
  </si>
  <si>
    <t>WA</t>
  </si>
  <si>
    <t>Viking Mines</t>
  </si>
  <si>
    <t>Austsino Resources Group Ltd</t>
  </si>
  <si>
    <t>Peak Iron Mines Pty Ltd</t>
  </si>
  <si>
    <t>NT</t>
  </si>
  <si>
    <t>Elmore Limited</t>
  </si>
  <si>
    <t>Macarthur Minerals Ltd</t>
  </si>
  <si>
    <t>Yogi-Yalgoo</t>
  </si>
  <si>
    <t>Jack Hills</t>
  </si>
  <si>
    <t>Bulgunnia</t>
  </si>
  <si>
    <t>Fenix Resources Limited</t>
  </si>
  <si>
    <t>Beyondie Iron</t>
  </si>
  <si>
    <t>Accent Resources Ltd</t>
  </si>
  <si>
    <t>Yerecoin Iron</t>
  </si>
  <si>
    <t>Cashmere Iron Ltd</t>
  </si>
  <si>
    <t>Leichhardt Industrials Pty Ltd</t>
  </si>
  <si>
    <t>Longitude</t>
  </si>
  <si>
    <t>State</t>
  </si>
  <si>
    <t>Deposit</t>
  </si>
  <si>
    <t>Cape Lambert</t>
  </si>
  <si>
    <t>Hawsons</t>
  </si>
  <si>
    <t>NSW</t>
  </si>
  <si>
    <t xml:space="preserve">Ironback Hill </t>
  </si>
  <si>
    <t xml:space="preserve">Maitland River </t>
  </si>
  <si>
    <t xml:space="preserve">Mount Bevan </t>
  </si>
  <si>
    <t xml:space="preserve">Mount Forrest </t>
  </si>
  <si>
    <t xml:space="preserve">Mount Ida </t>
  </si>
  <si>
    <t xml:space="preserve">Pardoo-Ridley </t>
  </si>
  <si>
    <t xml:space="preserve">Southdown </t>
  </si>
  <si>
    <t xml:space="preserve">Cashmere Downs </t>
  </si>
  <si>
    <t>Giffen Well</t>
  </si>
  <si>
    <t>Irvine Island</t>
  </si>
  <si>
    <t>Lake Giles</t>
  </si>
  <si>
    <t xml:space="preserve">Lodestone </t>
  </si>
  <si>
    <t xml:space="preserve">Mount Alexander </t>
  </si>
  <si>
    <t>Ooldea</t>
  </si>
  <si>
    <t>Peak Hill Iron</t>
  </si>
  <si>
    <t>Snaefell</t>
  </si>
  <si>
    <t xml:space="preserve">Yalgoo </t>
  </si>
  <si>
    <t xml:space="preserve">Cohen - Zanthus </t>
  </si>
  <si>
    <t>Die Hardy</t>
  </si>
  <si>
    <t>Eulogie</t>
  </si>
  <si>
    <t>Hawks Nest</t>
  </si>
  <si>
    <t>Hercules</t>
  </si>
  <si>
    <t>Kimba Gap</t>
  </si>
  <si>
    <t>Koolanooka</t>
  </si>
  <si>
    <t>Magnetite Range</t>
  </si>
  <si>
    <t xml:space="preserve">Miaree </t>
  </si>
  <si>
    <t xml:space="preserve">Mount Oscar </t>
  </si>
  <si>
    <t xml:space="preserve">Perenjori Iron </t>
  </si>
  <si>
    <t>Broula</t>
  </si>
  <si>
    <t>Byro FE1</t>
  </si>
  <si>
    <t>Hinge Iron</t>
  </si>
  <si>
    <t>Iron Island</t>
  </si>
  <si>
    <t>Kara Mine</t>
  </si>
  <si>
    <t>Karara - Blue Hills</t>
  </si>
  <si>
    <t>Mount Moss</t>
  </si>
  <si>
    <t>Nelson Bay River</t>
  </si>
  <si>
    <t>Nowa Nowa</t>
  </si>
  <si>
    <t>VIC</t>
  </si>
  <si>
    <t>Central Queensland Metals Pty Ltd.</t>
  </si>
  <si>
    <t>Fe</t>
  </si>
  <si>
    <t>Iron</t>
  </si>
  <si>
    <t>Tasmania Mines Limited</t>
  </si>
  <si>
    <t>Grange Resources Ltd</t>
  </si>
  <si>
    <t>Havilah Resources NL</t>
  </si>
  <si>
    <t>Karara Mining Ltd, Gindalbie Metals Ltd, Midwest Corporation Limited, Sinosteel Midwest Corporation</t>
  </si>
  <si>
    <t>Maldorky</t>
  </si>
  <si>
    <t>Austsino Resources Group Ltd, Radar Iron Ltd</t>
  </si>
  <si>
    <t>Buxton Resources Ltd</t>
  </si>
  <si>
    <t>Athena Resources Limited</t>
  </si>
  <si>
    <t>Karara Mining Ltd</t>
  </si>
  <si>
    <t>Ashburton</t>
  </si>
  <si>
    <t>Pluton Resources</t>
  </si>
  <si>
    <t>Ironclad Mining Ltd, Trafford Resources Ltd</t>
  </si>
  <si>
    <t>Contact</t>
  </si>
  <si>
    <t>Catalina Resources Limited</t>
  </si>
  <si>
    <t xml:space="preserve">Fortescue </t>
  </si>
  <si>
    <t>Hawsons Iron</t>
  </si>
  <si>
    <t>YG Group</t>
  </si>
  <si>
    <t>Surefire Resources NL</t>
  </si>
  <si>
    <t>Oscar Resources</t>
  </si>
  <si>
    <t>FI Joint Venture Pty Ltd</t>
  </si>
  <si>
    <t>Savage River Concentration</t>
  </si>
  <si>
    <t>Savage River Pelletising</t>
  </si>
  <si>
    <t>POSCO (Port Hedland Iron Pty Ltd)</t>
  </si>
  <si>
    <t>PHI Pelletising</t>
  </si>
  <si>
    <t>PHI HBI</t>
  </si>
  <si>
    <t>Mid-West Green Pellets &amp; Green Iron Pelletising</t>
  </si>
  <si>
    <t>Mid-West Green Pellets &amp; Green Iron HBI</t>
  </si>
  <si>
    <t>Whyalla Steelworks</t>
  </si>
  <si>
    <t>DRI/HBI(Pilot)</t>
  </si>
  <si>
    <t>Western Australia</t>
  </si>
  <si>
    <t>Queensland</t>
  </si>
  <si>
    <t>South Australia</t>
  </si>
  <si>
    <t xml:space="preserve">https://api.investi.com.au/api/announcements/mgt/d8765f08-e90.pdf </t>
  </si>
  <si>
    <t>IRR%</t>
  </si>
  <si>
    <t>Concentrate Cost (A$/t)</t>
  </si>
  <si>
    <t xml:space="preserve">https://grange.blob.core.windows.net/public/4370fe56-65a1-400e-8f72-58ed89e6bb98.pdf </t>
  </si>
  <si>
    <t>Mineral Resource Definition</t>
  </si>
  <si>
    <t>Scoping, Pre-Feasibility, and Feasibility Studies</t>
  </si>
  <si>
    <t>P</t>
  </si>
  <si>
    <t>S</t>
  </si>
  <si>
    <t>Greenpatch</t>
  </si>
  <si>
    <t>Muster Dam</t>
  </si>
  <si>
    <t>Grants</t>
  </si>
  <si>
    <t xml:space="preserve">https://www.aspecthuntley.com.au/asxdata/20170418/pdf/01848360.pdf </t>
  </si>
  <si>
    <t>JORC 2012</t>
  </si>
  <si>
    <t xml:space="preserve">https://cqmetals.com.au/ </t>
  </si>
  <si>
    <t>SiO2%</t>
  </si>
  <si>
    <t>AL2O3%</t>
  </si>
  <si>
    <t>P%</t>
  </si>
  <si>
    <t>S%</t>
  </si>
  <si>
    <t>Proposed Concentrate Capacity (Mt/y)</t>
  </si>
  <si>
    <t xml:space="preserve">https://easternresources.com.au/wp-content/uploads/2024/09/EFE-Annual-Report-2024.pdf </t>
  </si>
  <si>
    <t xml:space="preserve">https://wcsecure.weblink.com.au/pdf/IRD/02884290.pdf </t>
  </si>
  <si>
    <t xml:space="preserve">https://www.havilah-resources.com.au/_files/ugd/0bf8d0_e61a9a04b81244bdab48ec7518349637.pdf </t>
  </si>
  <si>
    <t>JORC 2004</t>
  </si>
  <si>
    <t xml:space="preserve">https://announcements.asx.com.au/asxpdf/20150219/pdf/42wqg926pgxhhf.pdf </t>
  </si>
  <si>
    <t xml:space="preserve">https://minedex.dmirs.wa.gov.au/Web/sites/details/073a114a-f223-4893-9aec-a7b15c1cef7c </t>
  </si>
  <si>
    <t>China First Iron Ore</t>
  </si>
  <si>
    <t>Balmoral North</t>
  </si>
  <si>
    <t xml:space="preserve">https://www.resources.nsw.gov.au/sites/default/files/2022-11/magnetite.pdf </t>
  </si>
  <si>
    <t>Speedway</t>
  </si>
  <si>
    <t>LOI</t>
  </si>
  <si>
    <t>Phosphorus</t>
  </si>
  <si>
    <t>DTR</t>
  </si>
  <si>
    <t>Byro</t>
  </si>
  <si>
    <t xml:space="preserve">https://www.aspecthuntley.com.au/asxdata/20110704/pdf/01194592.pdf </t>
  </si>
  <si>
    <t xml:space="preserve">https://geodocs.dmirs.wa.gov.au/Web/documentlist/10/Report_Ref/A95459 </t>
  </si>
  <si>
    <t xml:space="preserve">https://www.aspecthuntley.com.au/asxdata/20120604/pdf/01302731.pdf </t>
  </si>
  <si>
    <t>LOI%</t>
  </si>
  <si>
    <t>Cut-off Fe%</t>
  </si>
  <si>
    <t xml:space="preserve">https://announcements.asx.com.au/asxpdf/20120813/pdf/42801b1wchth70.pdf </t>
  </si>
  <si>
    <t xml:space="preserve">https://wcsecure.weblink.com.au/pdf/FEX/02680649.pdf </t>
  </si>
  <si>
    <t xml:space="preserve">https://announcements.asx.com.au/asxpdf/20120713/pdf/427dg2rmmmf732.pdf </t>
  </si>
  <si>
    <t xml:space="preserve">https://img1.wsimg.com/blobby/go/33dd81f6-e660-468a-9dbe-780e154509da/downloads/ee7d5a97-9790-4fbf-91f8-400507d5f580/FIJV%20Yogi%20Project_Environmental%20Management%20Pla.pdf?ver=1746509983453 </t>
  </si>
  <si>
    <t>https://minedocs.com/28/Hawthorn-Resources-Ltd-MRE-07012024.pdf</t>
  </si>
  <si>
    <t xml:space="preserve">https://minedex.dmirs.wa.gov.au/Web/projects/details/8492d996-2abf-4c7d-8430-2c7a40973111 </t>
  </si>
  <si>
    <t xml:space="preserve">https://minedex.dmirs.wa.gov.au/Web/projects/details/440df72d-ee0c-4664-9d97-92d34fcec326 </t>
  </si>
  <si>
    <t xml:space="preserve">https://minedex.dmirs.wa.gov.au/Web/projects/details/aa5eda78-4085-4486-b600-5bbd9c9774ad </t>
  </si>
  <si>
    <t xml:space="preserve">https://minedex.dmirs.wa.gov.au/Web/sites/details/459787ec-01f8-49b0-b542-db4c4d3cff66 </t>
  </si>
  <si>
    <t xml:space="preserve">https://mindax.com.au/upload/documents/investors/asx-announcements/20230929_6A1151719_MDXa.pdf </t>
  </si>
  <si>
    <t xml:space="preserve">https://announcements.asx.com.au/asxpdf/20210923/pdf/450sc8lyh8ycd5.pdf </t>
  </si>
  <si>
    <t xml:space="preserve">https://minedex.dmirs.wa.gov.au/Web/projects/details/378a4b19-2ad7-4953-8503-4d35b3e436da </t>
  </si>
  <si>
    <t xml:space="preserve">https://www.junominerals.com.au/cproot/1212/3/20250115-Investor-Presentation-Re-release-MERGED-.pdf </t>
  </si>
  <si>
    <t xml:space="preserve">https://minedex.dmirs.wa.gov.au/Web/projects/details/79f7c36c-dc97-4c68-b883-f142a6144565 </t>
  </si>
  <si>
    <t xml:space="preserve">https://minedex.dmirs.wa.gov.au/Web/sites/details/da18445a-79a5-48ec-ab75-f904da89ffe2 </t>
  </si>
  <si>
    <t xml:space="preserve">https://cashmereiron.com/wp-content/uploads/2022/10/Cashmere_Iron_-_Global_Iron_Conference.pdf </t>
  </si>
  <si>
    <t xml:space="preserve">https://cashmereiron.com/project-information/history-of-deposit-exploration/ </t>
  </si>
  <si>
    <t xml:space="preserve">https://minedex.dmirs.wa.gov.au/Web/projects/details/4574a758-65ef-4de7-b0e9-8f33429cfc06 </t>
  </si>
  <si>
    <t xml:space="preserve">https://minedex.dmirs.wa.gov.au/Web/projects/details/27236849-4c89-40ea-b8c2-c29220fcae3a </t>
  </si>
  <si>
    <t xml:space="preserve">https://aust-sino.com/files/files/987_220._Telecom_Hill_Mineral_Resource_Estimate_Update_-_04Apr2022.pdf </t>
  </si>
  <si>
    <t xml:space="preserve">https://www.marketindex.com.au/asx/wbt/announcements/maiden-353-mt-magnetite-jorc-resource-for-die-hardy-XX566777 </t>
  </si>
  <si>
    <t xml:space="preserve">https://www.aspecthuntley.com.au/asxdata/20090414/pdf/00943689.pdf </t>
  </si>
  <si>
    <t xml:space="preserve">https://minedex.dmirs.wa.gov.au/Web/sites/details/78fb7072-c666-4088-a7d9-b56b3cfa5fcb </t>
  </si>
  <si>
    <t xml:space="preserve">https://minedex.dmirs.wa.gov.au/Web/sites/details/60d3f46b-f002-4986-b817-890981b1ece0 </t>
  </si>
  <si>
    <t>JORC</t>
  </si>
  <si>
    <t>https://www.lodestonemines.com/_files/ugd/22b2ca_5c2031f2e1204b5e8a6b05855fe3e0c9.pdf</t>
  </si>
  <si>
    <t>https://www.aspecthuntley.com.au/asxdata/20181019/pdf/02036550.pdf</t>
  </si>
  <si>
    <t xml:space="preserve">https://minedex.dmirs.wa.gov.au/Web/sites/details/c4f15be1-f515-4a9c-8a08-af901a1f8f20 </t>
  </si>
  <si>
    <t xml:space="preserve">https://minedex.dmirs.wa.gov.au/Web/sites/details/4f672cbe-9570-4381-9363-7412ff7c2bb3 </t>
  </si>
  <si>
    <t xml:space="preserve">https://wcsecure.weblink.com.au/pdf/ZNC/01644858.pdf </t>
  </si>
  <si>
    <t xml:space="preserve">https://announcements.asx.com.au/asxpdf/20130521/pdf/42g07m6wr47z7b.pdf </t>
  </si>
  <si>
    <t xml:space="preserve">https://app.sharelinktechnologies.com/announcement/asx/23a44d6de85eed8fc12ff6a56a343ef9 </t>
  </si>
  <si>
    <t xml:space="preserve">https://minedex.dmirs.wa.gov.au/Web/projects/details/204cc9af-ed09-479e-9af7-5e4a046f2941 </t>
  </si>
  <si>
    <t xml:space="preserve">https://app.sharelinktechnologies.com/announcement/asx/674f0a9efc29d6c5242d795adedaed1c </t>
  </si>
  <si>
    <t xml:space="preserve">https://minedex.dmirs.wa.gov.au/Web/resource-estimates/details/site/951805f3-e76b-af7a-a423-431abfef12d1 </t>
  </si>
  <si>
    <t xml:space="preserve">https://www.aspecthuntley.com.au/asxdata/20080205/pdf/00809572.pdf </t>
  </si>
  <si>
    <t xml:space="preserve">https://minedex.dmirs.wa.gov.au/Web/projects/details/4589687e-adab-4466-a661-bd0a0d0f43df </t>
  </si>
  <si>
    <t xml:space="preserve">https://announcements.asx.com.au/asxpdf/20220321/pdf/45767f9j59nd4m.pdf </t>
  </si>
  <si>
    <t xml:space="preserve">https://www.listcorp.com/asx/acs/accent-resources/news/magnetite-range-mineral-resource-update-2997134.html </t>
  </si>
  <si>
    <t xml:space="preserve">https://minedex.dmirs.wa.gov.au/Web/projects/details/15d56d41-8c44-41da-be09-9e15c5ee09f6 </t>
  </si>
  <si>
    <t>Commencement of PFS</t>
  </si>
  <si>
    <t>https://company-announcements.afr.com/asx/acs/7e8f67eb-005e-11f0-9dde-fa1e67b8f469.pdf</t>
  </si>
  <si>
    <t xml:space="preserve">https://minedex.dmirs.wa.gov.au/Web/projects/details/78e96fea-2c7c-4192-bde7-bb614d362f27 </t>
  </si>
  <si>
    <t>Focused on DSO product</t>
  </si>
  <si>
    <t xml:space="preserve">https://minedex.dmirs.wa.gov.au/Web/projects/details/37d7561f-097b-4ebe-aa94-02a5358875a3 </t>
  </si>
  <si>
    <t xml:space="preserve">https://announcements.asx.com.au/asxpdf/20130905/pdf/42j641psjj2wkn.pdf </t>
  </si>
  <si>
    <t xml:space="preserve">https://app.sharelinktechnologies.com/announcement/asx/844c0514c9e165316c6f6c34691d4795 </t>
  </si>
  <si>
    <t xml:space="preserve">https://app.sharelinktechnologies.com/announcement/asx/095fe49b5eb782bb000d365d5b93cd72 </t>
  </si>
  <si>
    <t xml:space="preserve">https://minedex.dmirs.wa.gov.au/Web/projects/details/a5903260-60bc-42d2-8fc2-10aec8692a73 </t>
  </si>
  <si>
    <t xml:space="preserve">https://wcsecure.weblink.com.au/pdf/BUR/02914575.pdf </t>
  </si>
  <si>
    <t xml:space="preserve">https://wcsecure.weblink.com.au/pdf/BUR/02392963.pdf </t>
  </si>
  <si>
    <t xml:space="preserve">https://minedex.dmirs.wa.gov.au/Web/sites/details/525a7369-9b53-4f3d-8cb6-6008d75d1263 </t>
  </si>
  <si>
    <t xml:space="preserve">https://cdn-api.markitdigital.com/apiman-gateway/ASX/asx-research/1.0/file/2995-01345668-3A380774&amp;v=04711220c3a57065317ba4efca4a3459a4e46882 </t>
  </si>
  <si>
    <t xml:space="preserve">https://minedex.dmirs.wa.gov.au/Web/owners/details/1abe5e0c-3aa3-4418-897e-06532803d6b4 </t>
  </si>
  <si>
    <t xml:space="preserve">https://www.reedylagoon.com.au/wp-content/uploads/2018/07/ASX_13-07-31_13-Q2-Activities5B.pdf </t>
  </si>
  <si>
    <t xml:space="preserve">https://www.aspecthuntley.com.au/asxdata/20230117/pdf/02621615.pdf </t>
  </si>
  <si>
    <t xml:space="preserve">https://announcements.asx.com.au/asxpdf/20150216/pdf/42wmnsvt7rkbj6.pdf </t>
  </si>
  <si>
    <t xml:space="preserve">https://minedex.dmirs.wa.gov.au/Web/sites/group-details/f811400c-a3ab-47b4-89ae-e810ff736134 </t>
  </si>
  <si>
    <t xml:space="preserve">https://minedex.dmirs.wa.gov.au/Web/sites/details/6f4cc4c5-ec43-4d7f-87f3-a704a5b02ccb </t>
  </si>
  <si>
    <t xml:space="preserve">https://minedex.dmirs.wa.gov.au/Web/projects/details/f204f99d-83dd-4115-813f-5a270f994f45 </t>
  </si>
  <si>
    <t xml:space="preserve">https://minedex.dmirs.wa.gov.au/Web/projects/details/dfd4369e-fc92-47d7-8f52-e644a08f717d </t>
  </si>
  <si>
    <t xml:space="preserve">https://announcements.asx.com.au/asxpdf/20131011/pdf/42jzhm5mf7qssv.pdf </t>
  </si>
  <si>
    <t xml:space="preserve">https://minedex.dmirs.wa.gov.au/Web/sites/details/f92b2ef4-e5c3-434f-83c7-9b0ed8222e0d </t>
  </si>
  <si>
    <t xml:space="preserve">https://minedex.dmirs.wa.gov.au/Web/projects/details/5041f035-f389-4298-8466-142fb1bee1b9 </t>
  </si>
  <si>
    <t xml:space="preserve">https://karawara.com.au/wp-content/uploads/2025/06/Forward-Program-May-2025.pdf </t>
  </si>
  <si>
    <t xml:space="preserve">https://wcsecure.weblink.com.au/pdf/HIO/02820097.pdf </t>
  </si>
  <si>
    <t xml:space="preserve">https://www.abc.net.au/news/2024-02-09/elmore-voluntary-administration-peko-mine-operator-tennant-creek/103445070 </t>
  </si>
  <si>
    <t xml:space="preserve">https://www.aspecthuntley.com.au/asxdata/20220913/pdf/02567419.pdf </t>
  </si>
  <si>
    <t xml:space="preserve">https://announcements.asx.com.au/asxpdf/20120130/pdf/42408wvsx98cwx.pdf </t>
  </si>
  <si>
    <t xml:space="preserve">https://www.vizmap.com.au/NRM/Commodities/493456.htm </t>
  </si>
  <si>
    <t xml:space="preserve">https://hotcopper.com.au/data/oldanns/2010/IFE/af96ef73-3443-446d-8259-4e5aa558a1c0-IFE504513.pdf </t>
  </si>
  <si>
    <t xml:space="preserve">https://drillhole.pir.sa.gov.au/MineralDepositDetails.aspx </t>
  </si>
  <si>
    <t xml:space="preserve">https://www.marketindex.com.au/asx/tyx/announcements/trf-ironclads-resource-update-at-wicherry-hill-and-hercules-XX433757 </t>
  </si>
  <si>
    <t>Inferred resource 194Mt @ 27.1%Fe.</t>
  </si>
  <si>
    <t>https://www.energymining.sa.gov.au/industry/geological-survey/gssa-projects/magnetite-south-australia</t>
  </si>
  <si>
    <t xml:space="preserve">https://wcsecure.weblink.com.au/pdf/LML/02787328.pdf </t>
  </si>
  <si>
    <t>Koppio Iron</t>
  </si>
  <si>
    <t>Brennand</t>
  </si>
  <si>
    <t>Carrow</t>
  </si>
  <si>
    <t>Iron Mount</t>
  </si>
  <si>
    <t>Barns Iron</t>
  </si>
  <si>
    <t>Kapperna</t>
  </si>
  <si>
    <t>Eurilla</t>
  </si>
  <si>
    <t>Rifle Range</t>
  </si>
  <si>
    <t>Bald Hill Iron</t>
  </si>
  <si>
    <t xml:space="preserve">https://www.aspecthuntley.com.au/asxdata/20121004/pdf/01340154.pdf </t>
  </si>
  <si>
    <t xml:space="preserve">https://announcements.asx.com.au/asxpdf/20130403/pdf/42f10svxcppwx2.pdf </t>
  </si>
  <si>
    <t xml:space="preserve">https://www.energymining.sa.gov.au/industry/geological-survey/gssa-projects/magnetite-south-australia </t>
  </si>
  <si>
    <t>Commonwealth Hill (Sequoia)</t>
  </si>
  <si>
    <t xml:space="preserve">https://invest.sa.gov.au/projects/commonwealth-hill-magnetite-project </t>
  </si>
  <si>
    <t xml:space="preserve">https://www.aspecthuntley.com.au/asxdata/20140729/pdf/01536981.pdf </t>
  </si>
  <si>
    <t xml:space="preserve">https://www.aspecthuntley.com.au/asxdata/20100216/pdf/01037712.pdf </t>
  </si>
  <si>
    <t xml:space="preserve">https://announcements.asx.com.au/asxpdf/20120607/pdf/426q70ddjcq4ds.pdf </t>
  </si>
  <si>
    <t xml:space="preserve">https://announcements.asx.com.au/asxpdf/20120525/pdf/426gp0l17x8p6l.pdf </t>
  </si>
  <si>
    <t xml:space="preserve">https://www.aspecthuntley.com.au/asxdata/20120301/pdf/01274782.pdf </t>
  </si>
  <si>
    <t xml:space="preserve">https://www.marketindex.com.au/asx/ida/announcements/mt-woods-magnetite-project-snaefell-concept-study-completed-XX601429 </t>
  </si>
  <si>
    <t xml:space="preserve">https://www.annualreports.com/HostedData/AnnualReportArchive/c/ASX_SHH_2021.pdf </t>
  </si>
  <si>
    <t xml:space="preserve">https://epa.tas.gov.au/Documents/Shree%20Minerals%20Ltd,%20Nelson%20Bay%20River%20Mine,%20Northwest%20Tasmania%20-%20Proposal%20Description.pdf </t>
  </si>
  <si>
    <t xml:space="preserve">https://grange.blob.core.windows.net/public/ce6fad1a-c025-47c1-96f9-55d9f18830cb.pdf </t>
  </si>
  <si>
    <t xml:space="preserve">https://announcements.asx.com.au/asxpdf/20170216/pdf/43g1pc59hpj6p9.pdf </t>
  </si>
  <si>
    <t>Forward Mining</t>
  </si>
  <si>
    <t>Rogetta North (Blythe River)</t>
  </si>
  <si>
    <t xml:space="preserve">https://www.nsenergybusiness.com/projects/rogetta-iron-ore-project-tasmania/?cf-view </t>
  </si>
  <si>
    <t xml:space="preserve">https://grange.blob.core.windows.net/public/059dc88b-f7fa-40bb-8d98-fc25751959a1.pdf </t>
  </si>
  <si>
    <t xml:space="preserve">https://www.aspecthuntley.com.au/asxdata/20120518/pdf/01298580.pdf </t>
  </si>
  <si>
    <t>Eastern Iron Ltd</t>
  </si>
  <si>
    <t>Eastern Resources Limited</t>
  </si>
  <si>
    <t xml:space="preserve">https://www.aspecthuntley.com.au/asxdata/20140521/pdf/01519382.pdf </t>
  </si>
  <si>
    <t xml:space="preserve">https://www.aspecthuntley.com.au/asxdata/20210726/pdf/02398977.pdf </t>
  </si>
  <si>
    <t>CZR Resource Ltd</t>
  </si>
  <si>
    <t xml:space="preserve">https://wcsecure.weblink.com.au/pdf/CZR/02693353.pdf </t>
  </si>
  <si>
    <t xml:space="preserve">https://wcsecure.weblink.com.au/pdf/CZR/02860241.pdf </t>
  </si>
  <si>
    <t xml:space="preserve">https://minedex.dmirs.wa.gov.au/Web/resource-estimates/details/site/dc2b5a59-36e3-4395-8c4b-df6b334ffa00 </t>
  </si>
  <si>
    <t>https://geodocs.dmirs.wa.gov.au/Web/documentlist/10/Report_Ref/A32419</t>
  </si>
  <si>
    <t>Citic Pacific Mining</t>
  </si>
  <si>
    <t xml:space="preserve">https://citicpacificmining.com/ </t>
  </si>
  <si>
    <t>Mine Link</t>
  </si>
  <si>
    <t xml:space="preserve">https://citicpacificmining.com/our-operation </t>
  </si>
  <si>
    <t xml:space="preserve">https://minedex.dmirs.wa.gov.au/Web/sites/details/5d4cc2c8-f9c9-4791-baf9-45bae3fe04db </t>
  </si>
  <si>
    <t xml:space="preserve">https://minedex.dmirs.wa.gov.au/Web/sites/details/bfa106c1-c86b-4c33-95e5-552b71223d0f </t>
  </si>
  <si>
    <t xml:space="preserve">https://mineralogy.com.au/projects/balmoral-south/ </t>
  </si>
  <si>
    <t xml:space="preserve">https://www.fortescue.com/en </t>
  </si>
  <si>
    <t xml:space="preserve">https://minedex.dmirs.wa.gov.au/Web/sites/details/67a0a806-a813-494d-a5c9-4e09fa8a709d </t>
  </si>
  <si>
    <t xml:space="preserve">https://geodocs.dmirs.wa.gov.au/Web/documentlist/8/ML_NUM/M47%2F1436 </t>
  </si>
  <si>
    <t xml:space="preserve">https://sunmirror.net/projects/cape-lambert/ </t>
  </si>
  <si>
    <t xml:space="preserve">https://sunmirror.net/pdfs/23_Nov-Al_Maynard-Cape_Lambert_Royalty.pdf </t>
  </si>
  <si>
    <t xml:space="preserve">https://www.ironroadlimited.com.au/ </t>
  </si>
  <si>
    <t xml:space="preserve">https://www.ironroadlimited.com.au/index.php/central-eyre-iron-project </t>
  </si>
  <si>
    <t xml:space="preserve">http://www.extensionhill.com.au/Projects/ExtensionHillMagnetiteProject.aspx </t>
  </si>
  <si>
    <t xml:space="preserve">https://hawsons.com.au/ </t>
  </si>
  <si>
    <t xml:space="preserve">https://hawsons.com.au/hawsons-iron-project/ </t>
  </si>
  <si>
    <t xml:space="preserve">https://www.magnetitemines.com/ </t>
  </si>
  <si>
    <t xml:space="preserve">https://www.magnetitemines.com/razorback-iron-ore-project </t>
  </si>
  <si>
    <t xml:space="preserve">https://www.magnetitemines.com/muster-dam-iron-ore-project </t>
  </si>
  <si>
    <t>Razorback &amp; Iron Peak</t>
  </si>
  <si>
    <t xml:space="preserve">https://company-announcements.afr.com/asx/mgt/388fcf20-5548-11f0-ab50-fa3dfe1111bc.pdf </t>
  </si>
  <si>
    <t xml:space="preserve">https://cdn-api.markitdigital.com/apiman-gateway/ASX/asx-research/1.0/file/2995-02049769-6A909994&amp;v=4a466cc3f899e00730cfbfcd5ab8940c41f474b6 </t>
  </si>
  <si>
    <t xml:space="preserve">https://www.kararamining.com.au/mining/#:~:text=Karara%20comprises%20a%20large%2Dscale%2C%20long%2Dlife%20magnetite%20orebody,a%20high%2Dgrade%20(+65%25%20Fe)%20concentrate%20for%20steelmaking. </t>
  </si>
  <si>
    <t xml:space="preserve">https://www.kararamining.com.au/ </t>
  </si>
  <si>
    <t>NPV (A$ million dollars)</t>
  </si>
  <si>
    <t xml:space="preserve">https://minedex.dmirs.wa.gov.au/Web/projects/details/2a2fe3da-834b-4af8-b1fc-2b056083534b </t>
  </si>
  <si>
    <t xml:space="preserve">https://mindax.com.au/projects/mt-forrest-project </t>
  </si>
  <si>
    <t xml:space="preserve">https://mindax.com.au/ </t>
  </si>
  <si>
    <t xml:space="preserve">https://www.junominerals.com.au/projects/mount-ida-magnetite-project </t>
  </si>
  <si>
    <t xml:space="preserve">https://www.junominerals.com.au/ </t>
  </si>
  <si>
    <t xml:space="preserve">https://www.hanroy.com.au/projects/ridley-magnetite/ </t>
  </si>
  <si>
    <t>Atlas Iron Ltd, Hancock Prospecting</t>
  </si>
  <si>
    <t xml:space="preserve">https://www.hanroy.com.au/projects/ </t>
  </si>
  <si>
    <t xml:space="preserve">https://www.grangeresources.com.au/ </t>
  </si>
  <si>
    <t xml:space="preserve">https://www.grangeresources.com.au/operations/southdown </t>
  </si>
  <si>
    <t xml:space="preserve">https://www.aspecthuntley.com.au/asxdata/20110622/pdf/01191176.pdf </t>
  </si>
  <si>
    <t xml:space="preserve">https://cashmereiron.com/ </t>
  </si>
  <si>
    <t xml:space="preserve">https://www.aspecthuntley.com.au/asxdata/20120222/pdf/01271121.pdf </t>
  </si>
  <si>
    <t xml:space="preserve">https://www.aspecthuntley.com.au/asxdata/20111108/pdf/01238683.pdf </t>
  </si>
  <si>
    <t xml:space="preserve">https://portergeo.com.au/database/mineinfo.asp?mineid=mn1149 </t>
  </si>
  <si>
    <t>Lodestone Mines</t>
  </si>
  <si>
    <t xml:space="preserve">https://www.lodestonemines.com/ </t>
  </si>
  <si>
    <t xml:space="preserve">https://www.lodestonemines.com/olaryflatsproject </t>
  </si>
  <si>
    <t>Cosmo Developments Pty Ltd</t>
  </si>
  <si>
    <t xml:space="preserve">https://www.energymining.sa.gov.au/industry/minerals-and-mining/mineral-commodities/iron-ore </t>
  </si>
  <si>
    <t xml:space="preserve">https://yggroup.com.au/projects/far-north-magnetite-resource/ </t>
  </si>
  <si>
    <t xml:space="preserve">https://www.czrresources.com/projects/yarraloola/yarraloola-ashburton/ </t>
  </si>
  <si>
    <t xml:space="preserve">https://aust-sino.com/projects/Peak-Hill-Iron-Project </t>
  </si>
  <si>
    <t xml:space="preserve">https://lodestoneiron.com.au/ </t>
  </si>
  <si>
    <t xml:space="preserve">https://yggroup.com.au/ </t>
  </si>
  <si>
    <t xml:space="preserve">https://fijv.au/ </t>
  </si>
  <si>
    <t xml:space="preserve">https://www.czrresources.com/ </t>
  </si>
  <si>
    <t xml:space="preserve">https://buxtonresources.com.au/ </t>
  </si>
  <si>
    <t xml:space="preserve">https://www.havilah-resources.com.au/ </t>
  </si>
  <si>
    <t xml:space="preserve">https://www.havilah-resources.com.au/grants </t>
  </si>
  <si>
    <t xml:space="preserve">https://www.havilah-resources.com.au/maldorky </t>
  </si>
  <si>
    <t xml:space="preserve">https://announcements.asx.com.au/asxpdf/20110610/pdf/41z4w4lt6xc9r3.pdf </t>
  </si>
  <si>
    <t xml:space="preserve">https://announcements.asx.com.au/asxpdf/20190424/pdf/444hwnkwc2t046.pdf </t>
  </si>
  <si>
    <t xml:space="preserve">https://announcements.asx.com.au/asxpdf/20140901/pdf/42rx9pt84xmqqf.pdf </t>
  </si>
  <si>
    <t xml:space="preserve">https://www.aspecthuntley.com.au/asxdata/20101123/pdf/01123710.pdf </t>
  </si>
  <si>
    <t xml:space="preserve">https://easternresources.com.au/ </t>
  </si>
  <si>
    <t xml:space="preserve">https://easternresources.com.au/projects/nowa-nowa-iron/ </t>
  </si>
  <si>
    <t xml:space="preserve">https://fenix.com.au/our-business/mining/ </t>
  </si>
  <si>
    <t xml:space="preserve">https://athenaresources.com.au/ </t>
  </si>
  <si>
    <t xml:space="preserve">https://athenaresources.com.au/byro-industrial-metals/ </t>
  </si>
  <si>
    <t xml:space="preserve">https://saemc.com.au/wp-content/uploads/2022/12/Session-4-01-Geoff-Johnson-1.pdf </t>
  </si>
  <si>
    <t xml:space="preserve">https://macarthurminerals.com/ </t>
  </si>
  <si>
    <t xml:space="preserve">http://www.accentresources.com.au/ </t>
  </si>
  <si>
    <t xml:space="preserve">http://www.accentresources.com.au/P_Magnetite.html </t>
  </si>
  <si>
    <t xml:space="preserve">https://gfgalliancewhyalla.com/about-us/mining/ </t>
  </si>
  <si>
    <t xml:space="preserve">https://lincolnminerals.com.au/ </t>
  </si>
  <si>
    <t xml:space="preserve">https://lincolnminerals.com.au/projects/green-iron-magnetite-project/ </t>
  </si>
  <si>
    <t xml:space="preserve">https://announcements.asx.com.au/asxpdf/20110601/pdf/41yzhdw81s2j8x.pdf </t>
  </si>
  <si>
    <t xml:space="preserve">https://announcements.asx.com.au/asxpdf/20150918/pdf/431f68b3p86hln.pdf </t>
  </si>
  <si>
    <t xml:space="preserve">https://oscarresources.com.au/ </t>
  </si>
  <si>
    <t xml:space="preserve">https://www.surefireresources.com.au/ </t>
  </si>
  <si>
    <t xml:space="preserve">https://www.surefireresources.com.au/project/perenjori-iron-ore/ </t>
  </si>
  <si>
    <t xml:space="preserve">https://burleyminerals.com.au/projects/western-australia-australia/yerecoin-iron-project/ </t>
  </si>
  <si>
    <t xml:space="preserve">https://burleyminerals.com.au/ </t>
  </si>
  <si>
    <t xml:space="preserve">https://fijv.au/yogi-magnetite-mine/f/fijv-has-signed-an-mou-with-green-iron-and-steel-australia </t>
  </si>
  <si>
    <t xml:space="preserve">https://elmoreltd.com.au/projects/#:~:text=Peko%20Magnetite%2C%20Gold%20%26%20Polymetallic,stockpiled%20gold%2Dbearing%20ore%20resources.&amp;text=stockpile%20area. </t>
  </si>
  <si>
    <t xml:space="preserve">https://elmoreltd.com.au/ </t>
  </si>
  <si>
    <t>DSO Magnetite</t>
  </si>
  <si>
    <t xml:space="preserve">https://fenix.com.au/ </t>
  </si>
  <si>
    <t>Brindal</t>
  </si>
  <si>
    <t xml:space="preserve">https://announcements.asx.com.au/asxpdf/20100923/pdf/31snyf5cfp0x1v.pdf </t>
  </si>
  <si>
    <t xml:space="preserve">https://smcl.com.au/projects/jack-hills/ </t>
  </si>
  <si>
    <t xml:space="preserve">https://smcl.com.au/ </t>
  </si>
  <si>
    <t>Sinosteel Midwest Group</t>
  </si>
  <si>
    <t xml:space="preserve">https://karawara.com.au/broula-magnetite-mine/ </t>
  </si>
  <si>
    <t xml:space="preserve">https://karawara.com.au/ </t>
  </si>
  <si>
    <t>Reedy Lagoon Corporation and Cliffs</t>
  </si>
  <si>
    <t xml:space="preserve">https://www.agilemining.com.au/services </t>
  </si>
  <si>
    <t xml:space="preserve">https://www.aspecthuntley.com.au/asxdata/20120112/pdf/01259324.pdf </t>
  </si>
  <si>
    <t xml:space="preserve">Inferred resource contains hematite, transitional and magnetite DSO above a 57% Fe cut-off grade. Only Inferred resources reported here. </t>
  </si>
  <si>
    <t xml:space="preserve">https://www.tasmines.com.au/about </t>
  </si>
  <si>
    <t xml:space="preserve">https://catalinaresources.com.au/ </t>
  </si>
  <si>
    <t xml:space="preserve">https://forwardmining.com.au/ </t>
  </si>
  <si>
    <t xml:space="preserve">https://announcements.asx.com.au/asxpdf/20171220/pdf/43qbd05dkr2qnq.pdf </t>
  </si>
  <si>
    <t>FS Study (Year)</t>
  </si>
  <si>
    <t>Capex (A$ million dollars)</t>
  </si>
  <si>
    <t>Total Recoverable Concentrate (Mt)</t>
  </si>
  <si>
    <t>Concentrate Operating Cost (A$/t)</t>
  </si>
  <si>
    <t>Karawara Minerals</t>
  </si>
  <si>
    <t>DRI</t>
  </si>
  <si>
    <t xml:space="preserve">https://www.marketindex.com.au/asx/efe/announcements/maiden-resource-for-eulogie-project-XX653269 </t>
  </si>
  <si>
    <t>Fe-C%</t>
  </si>
  <si>
    <t>SiO2-C%</t>
  </si>
  <si>
    <t>P-C%</t>
  </si>
  <si>
    <t>S-C%</t>
  </si>
  <si>
    <t>LOI-C%</t>
  </si>
  <si>
    <t>Cut Off-C%</t>
  </si>
  <si>
    <t xml:space="preserve">Olary Flats </t>
  </si>
  <si>
    <t>Olary Magnetite Project and Olary Creek Project. A weighted average of the reserves data was used instead of this reference, due to the higher SiO₂ content in the concentrate. https://www.aspecthuntley.com.au/asxdata/20170418/pdf/01848360.pdf</t>
  </si>
  <si>
    <t>Balmoral Central (George Palmer Pit)</t>
  </si>
  <si>
    <t>Bilanoo</t>
  </si>
  <si>
    <t>Bullamine</t>
  </si>
  <si>
    <t>Including (Burracoppin, Wongamine, Chitterberin)</t>
  </si>
  <si>
    <t>https://www.northern-iron.com.au/projects</t>
  </si>
  <si>
    <t xml:space="preserve">https://www.northern-iron.com.au/projects </t>
  </si>
  <si>
    <t xml:space="preserve">https://cdn.fortescue.com/docs/default-source/uncategorised/fy24-annual-report.pdf </t>
  </si>
  <si>
    <t>Mothballed</t>
  </si>
  <si>
    <t>Northern Iron</t>
  </si>
  <si>
    <t xml:space="preserve">https://mining.com.au/northern-iron-dispatches-inaugural-magnetite-shipment/ </t>
  </si>
  <si>
    <t>Company Link</t>
  </si>
  <si>
    <t>Reference</t>
  </si>
  <si>
    <t>Reference 2</t>
  </si>
  <si>
    <t>Fe%</t>
  </si>
  <si>
    <t>Mine Development Stages</t>
  </si>
  <si>
    <t>Sheet</t>
  </si>
  <si>
    <t>Description</t>
  </si>
  <si>
    <t>EAF</t>
  </si>
  <si>
    <t>ESF</t>
  </si>
  <si>
    <t>Version</t>
  </si>
  <si>
    <t>Last update</t>
  </si>
  <si>
    <t>Purpose</t>
  </si>
  <si>
    <t>sbasirat@ieefa.org</t>
  </si>
  <si>
    <t>About this database</t>
  </si>
  <si>
    <t>HBI</t>
  </si>
  <si>
    <t>This sheet includes the list of both pilot and commercial scale ironmaking(DRI,HBI), concentrate and pelletising in Australia.</t>
  </si>
  <si>
    <t xml:space="preserve">https://phiron.com.au/ </t>
  </si>
  <si>
    <t xml:space="preserve">https://dme.nt.gov.au/news/2025/maiden-magnetite-shipment-leaves-nt-bound-for-asia </t>
  </si>
  <si>
    <t xml:space="preserve">https://calix.global/iron-steel/ </t>
  </si>
  <si>
    <t xml:space="preserve">https://arena.gov.au/assets/2024/05/Calix-Zesty-Tech-%E2%80%93-Zero-Emissions-Iron-and-Steel-study-and-final-reports.pdf </t>
  </si>
  <si>
    <t>Development Stage</t>
  </si>
  <si>
    <t>PFS</t>
  </si>
  <si>
    <t>FS/DFS/BFS</t>
  </si>
  <si>
    <t>Facility Link</t>
  </si>
  <si>
    <t>Investment (A$M)</t>
  </si>
  <si>
    <t>Start Year</t>
  </si>
  <si>
    <t xml:space="preserve">https://www.kararamining.com.au/processing/ </t>
  </si>
  <si>
    <t>https://gfgalliancewhyalla.com/about-us/mining/</t>
  </si>
  <si>
    <t xml:space="preserve">https://gfgalliancewhyalla.com/ </t>
  </si>
  <si>
    <t xml:space="preserve">https://gfgalliancewhyalla.com/about-us/#operations </t>
  </si>
  <si>
    <t xml:space="preserve">https://announcements.asx.com.au/asxpdf/20210705/pdf/44y0fwc23vzhn0.pdf </t>
  </si>
  <si>
    <t xml:space="preserve">https://wcsecure.weblink.com.au/pdf/LML/02859106.pdf </t>
  </si>
  <si>
    <t xml:space="preserve">https://www.ironroadlimited.com.au/index.php/central-eyre-iron-project/definitive-feasibility </t>
  </si>
  <si>
    <t xml:space="preserve">https://wcsecure.weblink.com.au/pdf/IRD/02079052.pdf </t>
  </si>
  <si>
    <t xml:space="preserve">https://www.hanroy.com.au/ </t>
  </si>
  <si>
    <t>Environmental approval documents were lodged with the Federal Government in early 2023 for a 3 million tonne-a-year starter operation. Atlas Iron delayed a final investment decision on its proposed Ridley mine, pinning the move on approvals uncertainty and water supply.</t>
  </si>
  <si>
    <t xml:space="preserve">https://gfgalliancewhyalla.com/wp-content/uploads/sites/4/2025/02/Middleback-Range-News-February-2025-2.pdf </t>
  </si>
  <si>
    <t xml:space="preserve">https://calix.global/ </t>
  </si>
  <si>
    <t xml:space="preserve">https://arena.gov.au/projects/project-neosmelt/ </t>
  </si>
  <si>
    <t>BlueScope, BHP,  Rio Tinto, Woodside and Mitsui</t>
  </si>
  <si>
    <t xml:space="preserve">https://www.bluescope.com/news/BlueScope-BHP-and-Rio-Tinto-select-WA-for-Australia-s-largest-ironmaking-ESF-pilot-plant </t>
  </si>
  <si>
    <t xml:space="preserve">https://www.bhp.com/news/media-centre/releases/2025/06/neosmelt-welcomes-federal-government-support-and-signs-two-new-participants </t>
  </si>
  <si>
    <t xml:space="preserve">https://www.riotinto.com/ </t>
  </si>
  <si>
    <t xml:space="preserve">https://www.riotinto.com/en/news/releases/2024/rio-tinto-to-develop-bioiron-rd-facility-in-western-australia-to-test-low-carbon-steelmaking </t>
  </si>
  <si>
    <t xml:space="preserve">https://www.riotinto.com/en/news/stories/decarbonising-steel-making </t>
  </si>
  <si>
    <t xml:space="preserve">https://www.riotinto.com/en/news/releases/2022/rio-tintos-bioiron-proves-successful-for-low-carbon-iron-making </t>
  </si>
  <si>
    <t xml:space="preserve">https://gfgalliancewhyalla.com/stories/liberty-steel-in-whyalla-announces-the-phase-out-of-coal-based-steelmaking-with-purchase-of-a-low-carbon-emissions-electric-arc-furnace/ </t>
  </si>
  <si>
    <t xml:space="preserve">https://www.gfgalliance.com/ </t>
  </si>
  <si>
    <t xml:space="preserve">https://www.greensteelwa.com.au/ </t>
  </si>
  <si>
    <t xml:space="preserve">https://www.greensteelwa.com.au/about-us/ </t>
  </si>
  <si>
    <t xml:space="preserve">https://h2greensteel.com.au/ </t>
  </si>
  <si>
    <t xml:space="preserve">https://h2greensteel.com.au/portfolio/green-iron/ </t>
  </si>
  <si>
    <t xml:space="preserve">https://h2greensteel.com.au/greensteel-australia-places-1-6b-order-with-danieli-group-for-fabrication-of-next-generation-steel-mill/ </t>
  </si>
  <si>
    <t>Scoping</t>
  </si>
  <si>
    <t xml:space="preserve">https://pgsjv.com.au/projects/#green-iron </t>
  </si>
  <si>
    <t xml:space="preserve">https://pgsjv.com.au/ </t>
  </si>
  <si>
    <t xml:space="preserve">https://calix.global/news/calix-executes-44-9m-arena-grant-zesty-green-iron-demonstration-plant/ </t>
  </si>
  <si>
    <t xml:space="preserve">https://legacyiron.com.au/projects/mt-bevan/ </t>
  </si>
  <si>
    <t>EPC/Construction</t>
  </si>
  <si>
    <t>Concentrate Reference</t>
  </si>
  <si>
    <t xml:space="preserve">https://elmoreltd.com.au/projects/ </t>
  </si>
  <si>
    <t xml:space="preserve">https://www.lodestonemines.com/_files/ugd/22b2ca_5c2031f2e1204b5e8a6b05855fe3e0c9.pdf </t>
  </si>
  <si>
    <t xml:space="preserve">https://hotcopper.com.au/data/announcements/ASX/820108_EFE.pdf </t>
  </si>
  <si>
    <t xml:space="preserve">https://minedocs.com/28/Hawthorn-Resources-Ltd-MRE-07012024.pdf </t>
  </si>
  <si>
    <t xml:space="preserve">https://www.aspecthuntley.com.au/asxdata/20181019/pdf/02036550.pdf </t>
  </si>
  <si>
    <t xml:space="preserve">https://geodocs.dmirs.wa.gov.au/Web/documentlist/10/Report_Ref/A100900 </t>
  </si>
  <si>
    <t xml:space="preserve">https://www.aspecthuntley.com.au/asxdata/20110228/pdf/01156152.pdf </t>
  </si>
  <si>
    <t xml:space="preserve">https://cdn.fortescue.com/docs/default-source/announcements-and-reports/iron-bridge-magnetite-reserves-and-resources-update.pdf?sfvrsn=50020b06_1 </t>
  </si>
  <si>
    <t xml:space="preserve">https://cashmereiron.com/project-information/history-of-deposit-exploration/#:~:text=Metallurgical%20studies%20show%20that%20a,within%20the%20Measured%2FIndicated%20categories. </t>
  </si>
  <si>
    <t xml:space="preserve">https://athenaresources.com.au/wp-content/uploads/2024/05/Athena-Scoping-Study-May-2024-web8893-1.pdf  </t>
  </si>
  <si>
    <t xml:space="preserve">https://geodocs.dmirs.wa.gov.au/Web/documentlist/10/Report_Ref/A32419 </t>
  </si>
  <si>
    <t xml:space="preserve">https://announcements.asx.com.au/asxpdf/20090923/pdf/31kwfdc1y1ffhw.pdf </t>
  </si>
  <si>
    <t xml:space="preserve">https://cdn-api.markitdigital.com/apiman-gateway/ASX/asx-research/1.0/file/2995-01734869-6A761286?access_token=83ff96335c2d45a094df02a206a39ff4 </t>
  </si>
  <si>
    <t>Magnetite Deposit</t>
  </si>
  <si>
    <t>Resource(Mt)</t>
  </si>
  <si>
    <t>Reserve(Mt)</t>
  </si>
  <si>
    <t>Indicated(Mt)</t>
  </si>
  <si>
    <t>Inferred(Mt)</t>
  </si>
  <si>
    <t>Measured(Mt)</t>
  </si>
  <si>
    <t>Proved(Mt)</t>
  </si>
  <si>
    <t>Probable(Mt)</t>
  </si>
  <si>
    <t xml:space="preserve">https://minedex.dmirs.wa.gov.au/Web/sites/details/4e365f61-c6f6-423a-8b5e-85e10b812902 </t>
  </si>
  <si>
    <t xml:space="preserve">https://minedex.dmirs.wa.gov.au/Web/sites/details/33251fcf-cb27-4e0a-92d5-e34cf11cddd8 </t>
  </si>
  <si>
    <t>Bungalow &amp; Minbrie</t>
  </si>
  <si>
    <t>Deposit Reference</t>
  </si>
  <si>
    <t xml:space="preserve">https://announcements.asx.com.au/asxpdf/20111216/pdf/4239v45c02k79t.pdf </t>
  </si>
  <si>
    <t>https://announcements.asx.com.au/asxpdf/20091215/pdf/31mqy2x9xnrxw8.pdf</t>
  </si>
  <si>
    <t>Forge Resources Swan Pty Ltd</t>
  </si>
  <si>
    <t>Canegrass Battery Minerals Project</t>
  </si>
  <si>
    <t xml:space="preserve">https://vikingmines.com/canegrass-battery-minerals-project/ </t>
  </si>
  <si>
    <t xml:space="preserve">https://announcements.asx.com.au/asxpdf/20110810/pdf/4209rryvyhtp9n.pdf </t>
  </si>
  <si>
    <t xml:space="preserve">https://wcsecure.weblink.com.au/pdf/VKA/02741882.pdf </t>
  </si>
  <si>
    <t xml:space="preserve">https://minedex.dmirs.wa.gov.au/Web/projects/details/b07edb60-390e-44de-aa80-0a1f772ab7e7 </t>
  </si>
  <si>
    <t xml:space="preserve">https://minedex.dmirs.wa.gov.au/Web/projects/details/ae681714-3508-490f-b770-0cc6864021c2 </t>
  </si>
  <si>
    <t xml:space="preserve">https://vikingmines.com/ </t>
  </si>
  <si>
    <t>Central Eyre (CEIP)</t>
  </si>
  <si>
    <t xml:space="preserve">https://www.marketindex.com.au/asx/ida/announcements/imx-reports-favourable-metallurgical-test-results-XX642474 </t>
  </si>
  <si>
    <t>https://announcements.asx.com.au/asxpdf/20130130/pdf/42cnvwclhdpyqv.pdf</t>
  </si>
  <si>
    <t xml:space="preserve">https://speedwaymagnetite.weebly.com/ </t>
  </si>
  <si>
    <t xml:space="preserve">https://speedwaymagnetite.weebly.com/jorc-resource.html </t>
  </si>
  <si>
    <t xml:space="preserve">https://minedex.dmirs.wa.gov.au/Web/projects/details/38b27c61-cb52-539e-7bf5-6ea5a88b5315 </t>
  </si>
  <si>
    <t>Extension Hill (Mt Gibson)</t>
  </si>
  <si>
    <t xml:space="preserve">https://announcements.asx.com.au/asxpdf/20230929/pdf/05vg8jsdgfxtnp.pdf </t>
  </si>
  <si>
    <t>Mining Lease Approval</t>
  </si>
  <si>
    <t>Development Reference</t>
  </si>
  <si>
    <t xml:space="preserve">https://fijv.au/yogi-magnetite-mine/f/environmental-milestone-wa-approval-for-yogi-management-plan </t>
  </si>
  <si>
    <t xml:space="preserve">https://www.listcorp.com/asx/grr/grange-resources/news/southdown-pfs-results-and-resource-and-amp-reserve-statement-3177990.html </t>
  </si>
  <si>
    <t xml:space="preserve">https://www.listcorp.com/asx/haw/hawthorn-resources/news/lcy-mt-bevan-magnetite-jv-approves-forward-works-program-3087271.html </t>
  </si>
  <si>
    <t xml:space="preserve">https://www.energymining.sa.gov.au/industry/minerals-and-mining/mining/major-projects-and-mining-activities/major-operating-and-approved-mines/middleback-ranges </t>
  </si>
  <si>
    <t>MineDex/SARIG</t>
  </si>
  <si>
    <t>Search the SARIG website for deposits from 3003 to 3009</t>
  </si>
  <si>
    <t xml:space="preserve">https://allianceresources.com.au/ </t>
  </si>
  <si>
    <t>Alliance Resources</t>
  </si>
  <si>
    <t>Wilcherry Hill (Weednanna)</t>
  </si>
  <si>
    <t xml:space="preserve">https://www.energymining.sa.gov.au/industry/minerals-and-mining/mining/community-engagement-opportunities/wilcherry-weednanna-gold-and-iron-project </t>
  </si>
  <si>
    <t xml:space="preserve">https://www.aspecthuntley.com.au/asxdata/20201119/pdf/02310800.pdf </t>
  </si>
  <si>
    <t xml:space="preserve">https://www.aspecthuntley.com.au/asxdata/20200831/pdf/02274551.pdf </t>
  </si>
  <si>
    <t>DSO. The Ironclad Weednanna deposit estimation was 11.2Mt based on the Annual Report 2014</t>
  </si>
  <si>
    <t xml:space="preserve">https://www.energymining.sa.gov.au/__data/assets/pdf_file/0006/1168548/20250307-Central-Iron-Pty-Lt~-Mining-lease-proposal-rev2.PDF </t>
  </si>
  <si>
    <t>Mass Recovery (DTR)%</t>
  </si>
  <si>
    <t>Environmental Assessment, Native Title Approvals (Land, Water) and Aboriginal Heritage Assessment</t>
  </si>
  <si>
    <t xml:space="preserve">https://announcements.asx.com.au/asxpdf/20071025/pdf/315bntb6zxqhz0.pdf </t>
  </si>
  <si>
    <t>https://invest.sa.gov.au/projects/lodestone-mines-olary-flats-project?utm</t>
  </si>
  <si>
    <t>https://api.investi.com.au/api/announcements/mgt/b65c1415-9fc.pdf?utm</t>
  </si>
  <si>
    <t xml:space="preserve">https://announcements.asx.com.au/asxpdf/20220511/pdf/458x3lrqnq5kh6.pdf?utm </t>
  </si>
  <si>
    <t>https://invest.sa.gov.au/projects/maldorky-iron-ore-project?utm</t>
  </si>
  <si>
    <t>Ironback Hill has not been included in PFS study.</t>
  </si>
  <si>
    <t xml:space="preserve">https://announcements.asx.com.au/asxpdf/20121205/pdf/42bqznjy47lpjp.pdf </t>
  </si>
  <si>
    <t>https://invest.sa.gov.au/projects/grants-and-grants-basin-iron-ore-project</t>
  </si>
  <si>
    <t xml:space="preserve">https://announcements.asx.com.au/asxpdf/20130130/pdf/42cnvwclhdpyqv.pdf </t>
  </si>
  <si>
    <t>Agile Mining Service</t>
  </si>
  <si>
    <t>Development Note</t>
  </si>
  <si>
    <t xml:space="preserve">https://www.surefireresources.com.au/wp-content/uploads/2021/05/SRN-2021-06-22-ASX-Release-Scoping-Study-Confirms-Potential.pdf </t>
  </si>
  <si>
    <t>Conceptual mining study completed. Environmental baseline studies completed.</t>
  </si>
  <si>
    <t xml:space="preserve">https://www.epa.wa.gov.au/proposals/ridley-magnetite-project </t>
  </si>
  <si>
    <t>Baseline surveys and reports initiated prior to November 2012 have now been finalised. No further studies have been initiated on the Mount Ida project.</t>
  </si>
  <si>
    <t>https://mindax.com.au/projects/mid-west-shared-infrastructure-project?utm</t>
  </si>
  <si>
    <t>https://oscarmetals.com.au/page/mt_oscar_iron_ore_project.html?utm</t>
  </si>
  <si>
    <t xml:space="preserve">https://www.epa.wa.gov.au/proposals/balla-balla-magnetite-mining-project-s46-2224 </t>
  </si>
  <si>
    <t xml:space="preserve">https://macarthurminerals.com/wp-content/uploads/2022/03/NR-Mineral-Reserve-Statement_Final_TSXV-15-March-2022.pdf </t>
  </si>
  <si>
    <t>https://smcl.com.au/projects/koolanooka-magnetite/?utm</t>
  </si>
  <si>
    <t xml:space="preserve">https://smcl.com.au/projects/blue-hills-dso-hematite/ </t>
  </si>
  <si>
    <t>Mining tenement M 59/595-I, Expiry 24-Jan-2026</t>
  </si>
  <si>
    <t xml:space="preserve">https://www.epa.wa.gov.au/sites/default/files/Referral_Documentation/PRE09191%2001%20Irvine%20Island%20Explanatory%20document%20for%20referral%20Rev%200.pdf?utm_source=chatgpt.com </t>
  </si>
  <si>
    <t xml:space="preserve">https://www.epa.wa.gov.au/proposals/mount-gibson-iron-ore-mine-and-infrastructure-project </t>
  </si>
  <si>
    <t xml:space="preserve">https://announcements.asx.com.au/asxpdf/20120606/pdf/426phn96fw93y0.pdf </t>
  </si>
  <si>
    <t xml:space="preserve">https://company-announcements.afr.com/asx/ahn/3f46d6d7-d004-11ec-8084-8277c9a3b1ab.pdf?utm_source=chatgpt.com </t>
  </si>
  <si>
    <t xml:space="preserve">https://clients2.weblink.com.au/news/pdf_1%5C02967070.pdf </t>
  </si>
  <si>
    <t xml:space="preserve">https://www.epa.wa.gov.au/proposals/jack-hills-expansion-project </t>
  </si>
  <si>
    <t>Part of the Jack Hill Deposit</t>
  </si>
  <si>
    <t xml:space="preserve">https://www.aspecthuntley.com.au/asxdata/20200624/pdf/02247581.pdf </t>
  </si>
  <si>
    <t>https://announcements.asx.com.au/asxpdf/20150616/pdf/42z70yl5tjn54v.pdf?utm</t>
  </si>
  <si>
    <t xml:space="preserve">https://www.listcorp.com/asx/ctn/catalina-resources-ltd/news/nbr-dso-iron-ore-project-permitting-advances-2910424.html </t>
  </si>
  <si>
    <t xml:space="preserve">https://easternresources.com.au/nowa-nowa/ </t>
  </si>
  <si>
    <t>https://announcements.asx.com.au/asxpdf/20210420/pdf/44vpy33sw335bq.pdf</t>
  </si>
  <si>
    <t xml:space="preserve">https://announcements.asx.com.au/asxpdf/20210420/pdf/44vpy33sw335bq.pdf </t>
  </si>
  <si>
    <t>Curtain Brothers, Mt Moss Mining Pty Ltd, AXIS Mount Moss Mine</t>
  </si>
  <si>
    <t>A larger mining lease application area MLA641 was granted in December 2023 to replace the previous MLA460.</t>
  </si>
  <si>
    <t xml:space="preserve">https://www.listcorp.com/asx/hio/hawsons-iron-limited/news/hawsons-drilling-program-and-resource-update-completed-3046964.html </t>
  </si>
  <si>
    <t>Magnetite DSO</t>
  </si>
  <si>
    <t xml:space="preserve">https://karawara.com.au/wp-content/uploads/2024/05/Broula-Mine-Annual-Report-17-May-2024.pdf </t>
  </si>
  <si>
    <t>ML 1616 (1992)</t>
  </si>
  <si>
    <t>Australasian Resources Ltd, Minerology</t>
  </si>
  <si>
    <t xml:space="preserve">https://www.epa.wa.gov.au/sites/default/files/PER_documentation/A1677_R1340_PER_Appendix%20A%20PEMP%20081219.pdf </t>
  </si>
  <si>
    <t xml:space="preserve">https://www.hfw.com/insights/clive-palmer-v-the-commonwealth-of-australia/ </t>
  </si>
  <si>
    <t xml:space="preserve">https://www.ironroadlimited.com.au/index.php/projects/25-central-eyre-iron-project/mlp-eis </t>
  </si>
  <si>
    <t xml:space="preserve">https://www.fortescue.com/en/articles/fortescue-starts-works-on-green-metal-project </t>
  </si>
  <si>
    <t xml:space="preserve">FMG Green Metal Project </t>
  </si>
  <si>
    <t>Greensteel Australia DRI</t>
  </si>
  <si>
    <t xml:space="preserve">https://macarthurminerals.com/wp-content/uploads/2022/04/LGIO1-EN-00000-G-R-9006-1.pdf </t>
  </si>
  <si>
    <t xml:space="preserve">https://athenaresources.com.au/wp-content/uploads/2024/05/Athena-Scoping-Study-May-2024-web8893-1.pdf </t>
  </si>
  <si>
    <t xml:space="preserve">https://wcsecure.weblink.com.au/pdf/HIO/02949158.pdf </t>
  </si>
  <si>
    <t xml:space="preserve">https://macarthurminerals.com/wp-content/uploads/2025/08/Quarterly-Activities-Report-period-ended-30-June-2025.pdf </t>
  </si>
  <si>
    <t>Since the company operates across two different deposits, a weighted average of both was calculated and used as the final figure.</t>
  </si>
  <si>
    <t>A Retention Licence is a ‘holding’ title for a mineral resource that has been identified but is not able to be further explored or mined. </t>
  </si>
  <si>
    <t>Centrex quits Bungalow magnetite joint venture on Eyre Peninsula.</t>
  </si>
  <si>
    <t>Additional Reference</t>
  </si>
  <si>
    <t>This sheet catalogues 83 magnetite iron‑ore deposits located throughout Australia. For each deposit it summarises:</t>
  </si>
  <si>
    <t>Concentration and beneficiation test results, including key technical parameters</t>
  </si>
  <si>
    <t>Project Level Development Stages</t>
  </si>
  <si>
    <t>NPV</t>
  </si>
  <si>
    <t>IRR</t>
  </si>
  <si>
    <t>Sulphur</t>
  </si>
  <si>
    <t>Grind Size (µm)</t>
  </si>
  <si>
    <t>Joint Ore Reserves Committee</t>
  </si>
  <si>
    <t>_C</t>
  </si>
  <si>
    <t>Resource and reserve estimates</t>
  </si>
  <si>
    <t xml:space="preserve">For each magnetite deposit, the journey from initial exploration to full-scale mining and production can span many years. To better understand the progress of magnetite projects, each deposit has been classified according to one of seven key development stages, with each stage representing a major milestone along the path to production. </t>
  </si>
  <si>
    <t>Investment Reference</t>
  </si>
  <si>
    <t>Start Year Reference</t>
  </si>
  <si>
    <t>https://tenova.com/newsroom/latest-tenova/tenova-selected-australias-low-emission-steelmaking-pilot</t>
  </si>
  <si>
    <t>67% Fe iron ore pellet feed CFR Middle East assessment</t>
  </si>
  <si>
    <t>Code</t>
  </si>
  <si>
    <t>IOCQR04</t>
  </si>
  <si>
    <t>IOBFC04</t>
  </si>
  <si>
    <t>IODBR00</t>
  </si>
  <si>
    <t>IODCA00</t>
  </si>
  <si>
    <t>MB-IRO-0012</t>
  </si>
  <si>
    <t>Iron ore 65% Fe blast furnace pellet, cfr Qingdao, $/tonne</t>
  </si>
  <si>
    <t>Max: 2.5% combined SiO2+Al2O3</t>
  </si>
  <si>
    <t>Base</t>
  </si>
  <si>
    <t>Min</t>
  </si>
  <si>
    <t>Max</t>
  </si>
  <si>
    <t>MB-IRO-0013</t>
  </si>
  <si>
    <t>Iron ore 65% Fe concentrate, cfr Qingdao, $/tonne</t>
  </si>
  <si>
    <t>Iron ore 67.5% Fe pellet feed, cfr Qingdao, $/tonne</t>
  </si>
  <si>
    <t>MB-IRO-0188</t>
  </si>
  <si>
    <t>Specifications Guide Global Iron Ore Latest update: December 2024</t>
  </si>
  <si>
    <t>Fastmarkets</t>
  </si>
  <si>
    <t>Platts</t>
  </si>
  <si>
    <t>Iron ore indices Methodology and price specifications – June 2025</t>
  </si>
  <si>
    <t>For concentrate figures, deposits within the Mt Wood area other than Snaefell — including Eagle, Axehead, Tomahawk, and others — were used. The Snaefell scoping study indicated a concentrate grade of 66% Fe with a very coarse grind size of 180–200 microns.</t>
  </si>
  <si>
    <t>Balla Balla Project is a Magnetite, Vanadium and Titanium project. Flinders  Mines  Limited  (ASX:FMS)  (Flinders or  the  Company)  advises  that Todd  Corporation  (Todd), BBIG Group Pty Ltd (BBIG) and Flinders have mutually agreed to terminate the agreement for Flinders to acquire 100% of Forge Resources Swan Pty Ltd (FRS). https://www.listcorp.com/asx/rhk/red-hawk-mining-limited/news/balla-balla-infrastructure-project-acquisition-terminated-2896393.html https://www.epa.wa.gov.au/sites/default/files/EPA_Report/EPA%20Report%201670%20-%20Balla%20Balla%20Magnetite%20Mining%20Project%20-%20s.%2046%20inquiry.pdf</t>
  </si>
  <si>
    <t>Fortescue Magnetite</t>
  </si>
  <si>
    <t xml:space="preserve">https://www.fortescue.com/en/what-we-do/our-operations/iron-bridge </t>
  </si>
  <si>
    <t>https://www.northern-iron.com.au</t>
  </si>
  <si>
    <t xml:space="preserve">https://www.wa.gov.au/government/media-statements/Barnett%20Liberal%20National%20Government/Pilbara-welcomes-WA%27s-biggest-magnetite-iron-ore-mine--20131202#:~:text=Premier%20and%20State%20Development%20Minister%20Colin%20Barnett,Pacific's%20Sino%20Iron%20project%2C%20south-west%20of%20Karratha. </t>
  </si>
  <si>
    <t xml:space="preserve">https://www.kararamining.com.au/our-history/ </t>
  </si>
  <si>
    <t xml:space="preserve">https://gfgalliancewhyalla.com/wp-content/uploads/sites/4/2024/02/SIMEC-Mining-Magnetite-Expansion-Project-2-Project-Introduction-April-2022.pdf </t>
  </si>
  <si>
    <t xml:space="preserve">https://www.whyalla.sa.gov.au/our-city/about-us/history-1910-1940 </t>
  </si>
  <si>
    <t xml:space="preserve">https://cdn.fortescue.com/docs/default-source/announcements-and-reports/2547020.pdf </t>
  </si>
  <si>
    <t xml:space="preserve">https://www.afr.com/companies/mining/china-s-citic-blames-clive-palmer-as-it-slashes-wa-mine-production-20240215-p5f5as </t>
  </si>
  <si>
    <t xml:space="preserve">https://announcements.asx.com.au/asxpdf/20121018/pdf/429gqj1mh59044.pdf </t>
  </si>
  <si>
    <t xml:space="preserve">https://gfgalliancewhyalla.com/about-us/mining// </t>
  </si>
  <si>
    <t>The development stage of the expansion project has been mentioned.</t>
  </si>
  <si>
    <t>The concentrate figures are based on the average of two deposits. Iron Duchess South &amp; Iron Chieftain West</t>
  </si>
  <si>
    <t xml:space="preserve">https://cdn-api.markitdigital.com/apiman-gateway/ASX/asx-research/1.0/file/2924-02348361-6A1022608&amp;v=4a466cc3f899e00730cfbfcd5ab8940c41f474b6 </t>
  </si>
  <si>
    <t>Sulphur will be reduced to an acceptable level using flotation.</t>
  </si>
  <si>
    <t xml:space="preserve">https://wcsecure.weblink.com.au/pdf/LML/02965298.pdf  </t>
  </si>
  <si>
    <t>Tasmania</t>
  </si>
  <si>
    <t>This sheet includes several indices related to high-grade feedstock in the iron market, based on two primary sources.</t>
  </si>
  <si>
    <t>Al2O3%</t>
  </si>
  <si>
    <t>Al2O3-C%</t>
  </si>
  <si>
    <t>SiO2+Al2O3-C%</t>
  </si>
  <si>
    <t>FEED</t>
  </si>
  <si>
    <t>https://minerals.sarig.sa.gov.au/MineralDepositDetails.aspx?DEPOSIT_NO=4902&amp;ref=1</t>
  </si>
  <si>
    <t>https://minerals.sarig.sa.gov.au/MineralDepositDetails.aspx?DEPOSIT_NO=9610&amp;ref=1</t>
  </si>
  <si>
    <t>https://minerals.sarig.sa.gov.au/MineralDepositDetails.aspx?DEPOSIT_NO=752&amp;ref=1</t>
  </si>
  <si>
    <t>https://minerals.sarig.sa.gov.au/MineralDepositDetails.aspx?DEPOSIT_NO=8361&amp;ref=1</t>
  </si>
  <si>
    <t>https://minerals.sarig.sa.gov.au/MineralDepositDetails.aspx?DEPOSIT_NO=7248&amp;ref=1</t>
  </si>
  <si>
    <t>https://minerals.sarig.sa.gov.au/MineralDepositDetails.aspx?DEPOSIT_NO=9465&amp;ref=1</t>
  </si>
  <si>
    <t>https://minerals.sarig.sa.gov.au/MineralDepositDetails.aspx?DEPOSIT_NO=3011&amp;ref=1</t>
  </si>
  <si>
    <t>https://minerals.sarig.sa.gov.au/MineralDepositDetails.aspx?DEPOSIT_NO=3003&amp;ref=1</t>
  </si>
  <si>
    <t>https://minerals.sarig.sa.gov.au/MineralDepositDetails.aspx?DEPOSIT_NO=3760&amp;ref=1</t>
  </si>
  <si>
    <t>https://minerals.sarig.sa.gov.au/MineralDepositDetails.aspx?DEPOSIT_NO=33&amp;ref=1</t>
  </si>
  <si>
    <t>https://minerals.sarig.sa.gov.au/MineralDepositDetails.aspx?DEPOSIT_NO=9807&amp;ref=1</t>
  </si>
  <si>
    <t>https://minerals.sarig.sa.gov.au/MineralDepositDetails.aspx?DEPOSIT_NO=11181&amp;ref=1</t>
  </si>
  <si>
    <t>https://minerals.sarig.sa.gov.au/MineralDepositDetails.aspx?DEPOSIT_NO=8294&amp;ref=1</t>
  </si>
  <si>
    <t>https://minerals.sarig.sa.gov.au/MineralDepositDetails.aspx?DEPOSIT_NO=763&amp;ref=1</t>
  </si>
  <si>
    <t>https://minerals.sarig.sa.gov.au/MineralDepositDetails.aspx?DEPOSIT_NO=8285&amp;ref=1</t>
  </si>
  <si>
    <t>https://minerals.sarig.sa.gov.au/MineralDepositDetails.aspx?DEPOSIT_NO=5006&amp;ref=1</t>
  </si>
  <si>
    <t>https://minerals.sarig.sa.gov.au/MineralDepositDetails.aspx?DEPOSIT_NO=313&amp;ref=1</t>
  </si>
  <si>
    <t>https://minerals.sarig.sa.gov.au/MineralDepositDetails.aspx?DEPOSIT_NO=5008&amp;ref=1</t>
  </si>
  <si>
    <t>https://minerals.sarig.sa.gov.au/MineralDepositDetails.aspx?DEPOSIT_NO=6639&amp;ref=1</t>
  </si>
  <si>
    <t>https://minerals.sarig.sa.gov.au/MineralDepositDetails.aspx?DEPOSIT_NO=773&amp;ref=1</t>
  </si>
  <si>
    <t>https://minerals.sarig.sa.gov.au/MineralDepositDetails.aspx?DEPOSIT_NO=8317&amp;ref=1</t>
  </si>
  <si>
    <t>https://minerals.sarig.sa.gov.au/MineralDepositDetails.aspx?DEPOSIT_NO=9320&amp;ref=1</t>
  </si>
  <si>
    <t>https://minerals.sarig.sa.gov.au/MineralDepositDetails.aspx?DEPOSIT_NO=3012&amp;ref=1</t>
  </si>
  <si>
    <t>https://minerals.sarig.sa.gov.au/MineralDepositDetails.aspx?DEPOSIT_NO=9044&amp;ref=1</t>
  </si>
  <si>
    <t>https://minerals.sarig.sa.gov.au/MineralDepositDetails.aspx?DEPOSIT_NO=9495&amp;ref=1</t>
  </si>
  <si>
    <t>https://minerals.sarig.sa.gov.au/MineralDepositDetails.aspx?DEPOSIT_NO=249&amp;ref=1</t>
  </si>
  <si>
    <t>https://minerals.sarig.sa.gov.au/MineralDepositDetails.aspx?DEPOSIT_NO=8743&amp;ref=1</t>
  </si>
  <si>
    <t>https://aust-sino.com</t>
  </si>
  <si>
    <t>https://sites.google.com/ieefa.org/no-link-available/home</t>
  </si>
  <si>
    <t xml:space="preserve">https://sites.google.com/ieefa.org/no-link-available/home </t>
  </si>
  <si>
    <t>https://www.grangeresources.com.au</t>
  </si>
  <si>
    <t>https://www.fortescue.com/en/what-we-do/our-operations/iron-bridge</t>
  </si>
  <si>
    <t>https://oscarresources.com.au/page/mt_oscar_iron_ore_project.html?</t>
  </si>
  <si>
    <t>https://www.leic.com.au/projects/project-timeline.aspx?</t>
  </si>
  <si>
    <t>https://www.mtalexanderironore.com.au/</t>
  </si>
  <si>
    <t>Juno Minerals Ltd</t>
  </si>
  <si>
    <t>https://macarthurminerals.com/lake-giles-processing-plant-conceptual-flythrough/</t>
  </si>
  <si>
    <t>https://www.peakiron.com</t>
  </si>
  <si>
    <t>SunMirror AG</t>
  </si>
  <si>
    <t>Lodestone Iron</t>
  </si>
  <si>
    <t>Mt Alexander Iron Ore Pty Ltd</t>
  </si>
  <si>
    <t>https://smcl.com.au/projects/koolanooka-magnetite/</t>
  </si>
  <si>
    <t>https://smcl.com.au/</t>
  </si>
  <si>
    <t>Sinosteel Midwest Corporation</t>
  </si>
  <si>
    <t>Burley Minerals Ltd</t>
  </si>
  <si>
    <t>MineDex/SARIG Chart</t>
  </si>
  <si>
    <t>Deposit Reference Chart</t>
  </si>
  <si>
    <t>https://lincolnminerals.com.au/</t>
  </si>
  <si>
    <t>Concentrate Reference Chart</t>
  </si>
  <si>
    <t>Australian Green Iron Tracker</t>
  </si>
  <si>
    <t>Sheet contents</t>
  </si>
  <si>
    <t>READ ME</t>
  </si>
  <si>
    <t>Ironmaking value chain</t>
  </si>
  <si>
    <t>Magnetite deposits</t>
  </si>
  <si>
    <t>High-grade iron ore indices</t>
  </si>
  <si>
    <t>The data has been collected from various sources, with references included where available. While most of the information is based on the latest company announcements, additional sources such as company websites and external reports have also been referenced. For the 70 projects listed in Western Australia (WA) and South Australia (SA), links to MineDex (for WA deposits) and the South Australian Resource Information Gateway (SARIG, for SA deposits) have been provided.</t>
  </si>
  <si>
    <t>Data collection</t>
  </si>
  <si>
    <t>Development stages</t>
  </si>
  <si>
    <r>
      <t xml:space="preserve">Each major stage of mining in Australia – exploration, development and extraction, and ultimately mine closure </t>
    </r>
    <r>
      <rPr>
        <sz val="11"/>
        <rFont val="Aptos Narrow"/>
        <family val="2"/>
      </rPr>
      <t>–</t>
    </r>
    <r>
      <rPr>
        <sz val="11"/>
        <rFont val="Arial"/>
        <family val="2"/>
      </rPr>
      <t xml:space="preserve"> is governed by a comprehensive set of processes that vary by state. More detailed information can be found through the links provided.</t>
    </r>
  </si>
  <si>
    <t>New South Wales</t>
  </si>
  <si>
    <t>For ironmaking projects in the pipeline, six key development stages, ranging from scoping to construction, are used as outlined below.</t>
  </si>
  <si>
    <t xml:space="preserve">Mining operation and development </t>
  </si>
  <si>
    <t>Final investment decision (FID)</t>
  </si>
  <si>
    <t>Mining management plan, closure and rehabilitation</t>
  </si>
  <si>
    <t>Mining lease approval</t>
  </si>
  <si>
    <t>Environmental assessment, Native Title approvals (land, water) and Aboriginal heritage assessment</t>
  </si>
  <si>
    <t>Mineral resource definition</t>
  </si>
  <si>
    <t>Financial outcomes from pre-feasibility (PFS) or feasibility studies (FS), with a focus on those released after 2020.</t>
  </si>
  <si>
    <t>Alumina (aluminium oxide)</t>
  </si>
  <si>
    <t>Direct reduced iron</t>
  </si>
  <si>
    <t>Davis tube recovery</t>
  </si>
  <si>
    <t>Electric arc furnace</t>
  </si>
  <si>
    <t>Electric smelting furnace</t>
  </si>
  <si>
    <t>Hot briquetted iron</t>
  </si>
  <si>
    <t>Internal rate of return</t>
  </si>
  <si>
    <t>Loss on ignition</t>
  </si>
  <si>
    <t>Net present value</t>
  </si>
  <si>
    <t>Silicon dioxide (silica)</t>
  </si>
  <si>
    <t>Abbreviations and technical glossary</t>
  </si>
  <si>
    <t>EPC/construction</t>
  </si>
  <si>
    <t>Front-end engineering design (FEED)</t>
  </si>
  <si>
    <t>Pre-feasibility study (PFS)</t>
  </si>
  <si>
    <t>Scoping, pre-feasibility and feasibility studies</t>
  </si>
  <si>
    <t>SiO₂</t>
  </si>
  <si>
    <t>Al₂O₃</t>
  </si>
  <si>
    <t>In-situ head grade analysis, including iron (Fe%), silica (SiO₂%), alumina (Al₂O₃%), sulphur (S%), phosphorous (P%), loss on ignition (LOI%) and cut-off grade</t>
  </si>
  <si>
    <t>For feedback, questions or project suggestions, please get in touch with us:</t>
  </si>
  <si>
    <t>Iron Bridge is Australia’s newest large-scale magnetite iron ore concentrate plant, with a designed annual capacity of 22Mt. Iron Bridge produces a high-grade wet concentrate product, which is transported to Port Hedland through a 135km specialist slurry pipeline. The most recently reported capital cost for the project was US$3.9 billion.</t>
  </si>
  <si>
    <t>Karara is the first and only iron ore concentrate facility in WA's Mid West region, producing magnetite concentrate for export. Strategically located near Geraldton, the project represents a major milestone in the region’s shift toward value-added iron ore processing. It produces approximately 8 Mtpa of high-grade concentrate, with plans to expand capacity in response to growing demand for DR-grade feedstock.</t>
  </si>
  <si>
    <t>With a concentration capacity of up to 2.85Mtpa, Grange Resources’ Savage River supplies feedstock for its captive pelleting plant with a capacity of 2.6Mt.</t>
  </si>
  <si>
    <t>BF</t>
  </si>
  <si>
    <t>Blast furnace</t>
  </si>
  <si>
    <t>The future of mining in the Middleback Ranges is underpinned by its world-class magnetite deposit, as hematite reserves at the site are  largely depleted. Magnetite mining and processing operations centre on  existing plant infrastructure at Whyalla, with concentrate production capacity of approximately 2.5Mtpa. To support this transition and extend the life of the operation, the Program for Environment Protection and Rehabilitation (PEPR) was submitted to SA's Department for Energy and Mining (DEM) on 30 September 2024.</t>
  </si>
  <si>
    <t>CITIC Pacific Mining’s Sino Iron project, commissioned in 2013, is the largest magnetite concentrate operation in Australia. Located at Cape Preston in WA's Pilbara region, the project represents one of the most significant Chinese investments in the Australian resources sector.</t>
  </si>
  <si>
    <t>Since 2007, SIMEC Mining – now part of the Liberty Steel Group – has been mining 2.2Mtpa of magnetite, transporting it via slurry pipelines to Whyalla Steelworks to produce 1.3Mt of pellets for steel production. The company had previously outlined a vision to expand production to 15Mt of DR-grade concentrate; however, this plan is uncertain since Whyalla Steelworks entered administration.</t>
  </si>
  <si>
    <t xml:space="preserve">Definitive/bankable feasibility study (DFS/BFS) </t>
  </si>
  <si>
    <t xml:space="preserve">Iron Road Ltd is 100% owner of the Central Eyre Iron Project, an advanced, long-life iron ore mining, beneficiation and infrastructure development opportunity on SA's Eyre Peninsula. Iron Road delivered a lower-capital, lower development risk 12Mtpa optimisation study in February 2019. </t>
  </si>
  <si>
    <t xml:space="preserve">The Whyalla DR plant  will initially use a mix of natural gas and green hydrogen as the reducing agent, before fully transitioning to green hydrogen as it becomes available at scale. The plant is under administration, and its transition to a DRI-EAF process remains uncertain. </t>
  </si>
  <si>
    <t>Greensteel Australia has placed a A$1.6 billion order with Danieli Group for the construction of a steel mill, which includes two electric arc furnaces and a DRI plant. While the company had not officially confirmed the project location at the time of reporting, the most recent indication suggests plans to establish the facility near Whyalla.</t>
  </si>
  <si>
    <t>The Lake Giles Iron Ore Project is the flagship asset of Macarthur Minerals. The FS released on 11 April 2022 confirmed the commercial viability of a 3Mtpa magnetite production rate over 25 years.</t>
  </si>
  <si>
    <t>The PHI project includes a pelletiser to form hard, aggregated iron ore pellets that can be safely loaded into the MIDREX Flex shaft furnace. </t>
  </si>
  <si>
    <t>The proposed PHI HBI facility, strategically located near Port Hedland, is expected to produce HBI as a cleaner alternative to traditional ironmaking feedstock. The Project uses MIDREX Flex technology, which enables the use of gas and hydrogen in the reductant mix. Initially, the Project will use small amounts of hydrogen (1-10%), eventually moving to 100% hydrogen once available. The project received EPA approval on 18 August 2025.</t>
  </si>
  <si>
    <t>The Mid-West Green Pellets and Green Iron Pelletising project is in the early stages of scoping. An MoU was signed to supply concentrate from Karara mine.</t>
  </si>
  <si>
    <t>Capacity (Mtpa)</t>
  </si>
  <si>
    <t>Final Capacity (Mtpa)</t>
  </si>
  <si>
    <t>Exploring a regional infrastructure concept centred on its exciting Mt Forrest project</t>
  </si>
  <si>
    <t>Iron Road’s Mining Lease and Development applications were approved by the SA government on 3 May 2017.</t>
  </si>
  <si>
    <t xml:space="preserve">Concentrate figures were based on data provided in the FS report. https://api.investi.com.au/api/announcements/mgt/1af6e7b4-894.pdf </t>
  </si>
  <si>
    <t xml:space="preserve">Only in situ BFO was included in resources. </t>
  </si>
  <si>
    <t>SunMirror has acquired Pharlap Holdings, which has a royalty covering future mine production from the MCC Australia Sanjin Mining  Retention Licence (“R”) R47/18, their Cape Lambert Magnetite Project.</t>
  </si>
  <si>
    <t xml:space="preserve">Mindax Ltd </t>
  </si>
  <si>
    <t>Iron Road Ltd</t>
  </si>
  <si>
    <t>Legacy Iron Ore Ltd, Hancock Prospecting</t>
  </si>
  <si>
    <t>In 2012, a dispute arose between the parties as to whether the WA had properly dealt with Mineralogy’s application to develop the Balmoral South iron ore project under the state agreement.</t>
  </si>
  <si>
    <t>Exploration licence EL6746 was granted to MGT on 6 May 2022.</t>
  </si>
  <si>
    <t>Macarthur’s mining leases were all granted prior to registration of the Native Title claim, which does not confer rights to negotiate or affect the tenure. Macarthur is 
progressing heritage agreements with the Native Title claimants to progress the tenure to grant. The company has mapped out an approval pathway and schedule for the primary and
secondary approvals required, and intends to commence desktop and baseline surveys at the conclusion of the feasibility study. MIO has entered into an agreement with Arrow Minerals to acquire adjacent tenure to locate the proposed
processing plant, waste rock dumps, tailings storage facility and other supporting infrastructure. An application for a general purpose lease is in progress.</t>
  </si>
  <si>
    <t>Cashmere Downs Iron Project is advanced, with second stage environmental studies soon to commence; Native Title agreements in place; project within granted mining leases; and discussions with potential offtake/JV partners in progress. No Further update  since 2022.</t>
  </si>
  <si>
    <t>Fenix Resources Limited, Emergent Resources Ltd</t>
  </si>
  <si>
    <t>Maosen Australia Pty Ltd, WPG Resources Ltd</t>
  </si>
  <si>
    <t>Mining Lease &amp; Miscellaneous Purposes Licence Proposal submitted.</t>
  </si>
  <si>
    <t>PFS  elements undertaken aimed at derisking the project include: finalised Level 1 and Level 2 flora and flora surveys (which did not identify any major environmental triggers).</t>
  </si>
  <si>
    <t>Magnetite Range project occurs immediately west of the Great Northern Highway between Wubin and Paynes Find and consists of granted mining lease M59/166, granted exploration licences E59/875 and 1732 and granted PL59/1952. Due to the downturn in the iron ore price, studies at Magnetite Range have been deferred.</t>
  </si>
  <si>
    <t xml:space="preserve">Completion of Native Title in 2013. </t>
  </si>
  <si>
    <t xml:space="preserve">Insufficient work completed to estimate a mineral resource. </t>
  </si>
  <si>
    <t xml:space="preserve">Feasibility studies were to commence in 2012. No further announcement. </t>
  </si>
  <si>
    <t>MineDex data was used.</t>
  </si>
  <si>
    <t>Baotou Iron &amp; Steel Group Company Ltd</t>
  </si>
  <si>
    <t>Lincoln Minerals Ltd</t>
  </si>
  <si>
    <t>Iron Mountain Mining Ltd, Red River Resources Ltd</t>
  </si>
  <si>
    <t>Centrex Metals Ltd</t>
  </si>
  <si>
    <t>The company website states, "Mining Leases granted" but no other supporting documents were found. Havilah is seeking an investment partner to assist in funding a PFS.</t>
  </si>
  <si>
    <t>A$ to US$</t>
  </si>
  <si>
    <t>Viking Mines  focuses on vanadium production, with iron ore considered a byproduct. Applying metallurgical testwork results to the high-grade subset of the mineral resource estimation (MRE) indicates the potential to deliver &gt;16Mt concentrate at a grade of &gt;60% iron.</t>
  </si>
  <si>
    <t>A mining lease application has been accepted by the Department for Energy and Mining. Grant of the mining lease is subject to finalisation of a Native Title Mining Agreement, which is being negotiated.</t>
  </si>
  <si>
    <t>A Native Title and Aboriginal Heritage Agreement was signed in September 2008 by Apollo Minerals Limited with the Ngarluma People. In 2021, an engineering company was commissioned to evaluate the development options for the project.</t>
  </si>
  <si>
    <t>Alliance (Eyre) Pty Ltd lodged a mining lease  application (external site) over part of exploration licence (EL) 6188 on 28 February 2023.</t>
  </si>
  <si>
    <t>SMG previously mined hematite DSO from this deposit, but there has been no recorded activity for magnetite. SMG works on the Mungada East expansion project.</t>
  </si>
  <si>
    <t>Mining lease applications for the FE1 resource and the Mt Narryer ore body were lodged in 2017, followed
by successful completion of mining agreements in April 2018 with the Wajarri Yamatji Native Title Group.
Lodgement of State Deeds and grant of mining leases M09/166 (FE1) and M09/168 (Mt Narryer) were
completed on 11  April 2018, and was a major step towards production.</t>
  </si>
  <si>
    <t>Rogetta project mining lease ML1996P/M granted on 4 June 2015.</t>
  </si>
  <si>
    <t xml:space="preserve">Saleable as a coal-cleaning product. Mount Moss operated intermittently from 1996 -2014. In 2014, the project was placed into care and maintenance due to the declining iron ore market. </t>
  </si>
  <si>
    <t>Approval and mining lease for DSO. The next stage after completion of DSO pit will be the north pit that targets the main magnetite ore body.</t>
  </si>
  <si>
    <t>Shine-Warriedar</t>
  </si>
  <si>
    <t>Iron mineralisation occurs as hematite-goethite in the upper portions of the banded iron formation (BIF), with magnetite occurring at depth below the base of oxidation, approximately 100m below surface.</t>
  </si>
  <si>
    <t>Rehabilitation project of an old mine focused on processing copper, gold and cobalt other than magnetite.</t>
  </si>
  <si>
    <t>Peko Rehabilitation</t>
  </si>
  <si>
    <t>Warrego Mine Rehabilitation</t>
  </si>
  <si>
    <r>
      <t xml:space="preserve">This dataset provides a comprehensive overview of all operating and proposed projects within Australia’s iron production value chain. It is structured into two main sections:
</t>
    </r>
    <r>
      <rPr>
        <b/>
        <sz val="11"/>
        <color theme="1"/>
        <rFont val="Arial"/>
        <family val="2"/>
      </rPr>
      <t>Ironmaking value chain</t>
    </r>
    <r>
      <rPr>
        <sz val="11"/>
        <color theme="1"/>
        <rFont val="Arial"/>
        <family val="2"/>
      </rPr>
      <t xml:space="preserve"> – This section covers current and planned projects related to iron ore concentrate, pellet and direct reduced iron (DRI)/hot briquetted iron (HBI) facilities, including both pilot and commercial-scale developments.
</t>
    </r>
    <r>
      <rPr>
        <b/>
        <sz val="11"/>
        <color theme="1"/>
        <rFont val="Arial"/>
        <family val="2"/>
      </rPr>
      <t>Magnetite deposits</t>
    </r>
    <r>
      <rPr>
        <sz val="11"/>
        <color theme="1"/>
        <rFont val="Arial"/>
        <family val="2"/>
      </rPr>
      <t xml:space="preserve"> – A detailed list of magnetite deposits across Australia, with a focus on those capable of producing high-quality concentrate suitable for low-emission ironmaking. 
The dataset aims to capture the full landscape of Australia’s low-emissions iron value chain, with particular emphasis on projects adopting direct reduction (DR) technologies. It is intended to support industry monitoring and research into the growth of Australia’s green iron sector.</t>
    </r>
  </si>
  <si>
    <t>Content in iron ore concentrate</t>
  </si>
  <si>
    <t>The Warrego Mine began operating in the 1970s, and was mined for bismuth, copper and gold until the late 2000s when the site was abandoned. Originally, the mine did not target magnetite as a commercially viable product due to a lack of processing technology and market demand. The Warrego Rehabilitation Project began production in October 2024, and has a 3.5 year operational life. In December 2024, the mine began transporting magnetite concentrate by rail from Tennant Creek to Darwin for export to Asian markets.</t>
  </si>
  <si>
    <t>The Calix plant will use green hydrogen in a reduction furnace to convert iron ore into sponge iron, which is further processed in an electric smelting furnace (ESF), to produce high-purity green iron metal. This project is expected to produce more than 1,500tpa of green iron metal.</t>
  </si>
  <si>
    <t>The proposed Koolanooka magnetite project is not covered by the existing environmental approval for direct shipping ore (DSO) mining at Koolanooka but will be the subject of an independent application if feasibility work confirms the robustness of the project.</t>
  </si>
  <si>
    <t>Only in-situ BFO was included. Mining Lease M20/513.</t>
  </si>
  <si>
    <t>Grange Resources’ Savage River plant holds the distinction of being the oldest operating concentrate facility in Australia. With a capacity of up to 2.85Mtpa, it supplies a captive pelleting plant with a capacity of 2.6Mtpa.</t>
  </si>
  <si>
    <t>Whyalla Steelworks uses magnetite ore from the Middleback Ranges to produce 1.3Mtpa of pellets. It produces BF-grade pellets with an iron content below 65%.</t>
  </si>
  <si>
    <t xml:space="preserve">The Byro Project, a small-scale development with 29.3Mt of magnetite resources, released its scoping study in May 2024, outlining plans to produce 5Mtpa of iron ore concentrate. Due to its modest size and relatively low capital requirements, it could reach FID in the future. Athena, Warradarge Energy and Fenix have signed a MoU to plan and establish a new Mid West Green Iron Project in WA. </t>
  </si>
  <si>
    <t xml:space="preserve">https://wcsecure.weblink.com.au/pdf/HIO/03038544.pdf </t>
  </si>
  <si>
    <t>With 4.4 billion tonnes of soft magnetite ore, and deploying innovative dry processing technology, the Hawsons Iron Project in the New South Wales Southern Highlands could be one of the large-scale iron ore concentrate producers in Australia. Next step is to finalise current dry comminution and byproduct testing to a definitive level and finalise process flow sheet with vendor guarantees where applicable. PFS was completed in 2025.</t>
  </si>
  <si>
    <t>Element Zero</t>
  </si>
  <si>
    <t xml:space="preserve">https://elementzero.green/ </t>
  </si>
  <si>
    <t xml:space="preserve">https://elementzero.green/technology/ </t>
  </si>
  <si>
    <t>Element Zero uses direct electrolysis of iron ore at low temperatures and can operate with intermittent energy sources. The initiative commenced continuous production at its pilot plant in Western Australia in late 2025.</t>
  </si>
  <si>
    <t>https://elementzero.green/hon-roger-cook-visits-element-zero/</t>
  </si>
  <si>
    <t>BioIron uses raw biomass and microwave energy to convert Pilbara iron ore to metallic iron in the steelmaking process. The BioIron facility will include a pilot plant in the Rockingham Strategic Industrial Area, south of Perth, and follows successful trials of the innovative ironmaking process in a small-scale pilot plant in Germany. In November 2025, Rio Tinto decided to pause the project and pursue a partnership with Calix to develop Zesty technology.</t>
  </si>
  <si>
    <t xml:space="preserve">https://www.riotinto.com/en/news/releases/2025/rio-tinto-partners-with-calix-to-test-low-emissions-steel-making-in-western-australia-pauses-bioiron </t>
  </si>
  <si>
    <t xml:space="preserve">https://calix.global/news/calix-executes-joint-development-agreement-with-rio-tinto-to-provide-over-35m-of-value-for-zesty-green-iron-demonstration-plant/ </t>
  </si>
  <si>
    <t xml:space="preserve">  </t>
  </si>
  <si>
    <t>Terra Mining</t>
  </si>
  <si>
    <t>Extension Hill</t>
  </si>
  <si>
    <t xml:space="preserve">https://terramining.com.au/2025/11/19/terra-mining-successfully-commissions-second-magnetic-separation-processing-plant-at-extension-hill/#respond </t>
  </si>
  <si>
    <t xml:space="preserve">https://jobs.terramining.com.au/locations/extension-hill-mine </t>
  </si>
  <si>
    <t>In May of 2023, Terra Mining entered into contracts to operate the Extension Hill Magnetite mine in the Mid-West region of Western Australia outside Perenjori.
The first dry magnetic separation facility started in February 2025 and the second plant started in November 2025.</t>
  </si>
  <si>
    <t>https://terramining.com.au/</t>
  </si>
  <si>
    <t>Mount Gibson mined hematite from the Extension Hill deposit. Terra mining started mining magnetite in 2023.</t>
  </si>
  <si>
    <t>The Mid-West Green Pellets and Green Iron HBI project is in the early stages of scoping. An MoU was signed to supply concentrate from Karara mine. Extension hill magnetite is also considered as a supplier of high grade iron ore. In September 2025, Thyssenkrupp Materials Trading has signed a non binding MoU to offtake 100% of green hydrogen-derived iron from PGS.</t>
  </si>
  <si>
    <t xml:space="preserve">https://tempestminerals.com/ </t>
  </si>
  <si>
    <t>The Green Steel WA plant, when in operation will produce 2.5 million tonnes of low-emissions iron. The company is focusing on a scrap based facility in Collie, with a capacity of 0.4Mtpa. In 2025, the company signed MoUs with FIJV and Tempest Minerals to supply magnetite iron ore for its future ironmaking projects.</t>
  </si>
  <si>
    <t xml:space="preserve">https://investorhub.tempestminerals.com/announcements/6947910 </t>
  </si>
  <si>
    <t xml:space="preserve">https://minedex.dmirs.wa.gov.au/Web/projects/details/d0506860-8f8f-7782-205a-92628dc5bb9f </t>
  </si>
  <si>
    <t xml:space="preserve">https://investorhub.tempestminerals.com/announcements/6951864 </t>
  </si>
  <si>
    <t>Country</t>
  </si>
  <si>
    <t>Capex (US$ million dollars)</t>
  </si>
  <si>
    <t>NPV (US$ million dollars)</t>
  </si>
  <si>
    <t>Zanaga Iron Ore</t>
  </si>
  <si>
    <t>https://www.zanagairon.com/</t>
  </si>
  <si>
    <t>Republic of Congo</t>
  </si>
  <si>
    <t>https://www.zanagairon.com/the-zanaga-project/reserves-resources/</t>
  </si>
  <si>
    <t>https://www.zanagairon.com/the-zanaga-project/dri-pellet-feed/</t>
  </si>
  <si>
    <t>Environmental, social &amp; regulatory approvals</t>
  </si>
  <si>
    <t>Mining rights and land access</t>
  </si>
  <si>
    <t>Exploration and Mineral resource definition</t>
  </si>
  <si>
    <t>https://www.zanagairon.com/the-zanaga-project/</t>
  </si>
  <si>
    <t>Concentrate Operating Cost (US$/t)</t>
  </si>
  <si>
    <t>Concentrate Cost (US$/t)</t>
  </si>
  <si>
    <t>Kami</t>
  </si>
  <si>
    <t>CSN</t>
  </si>
  <si>
    <t>In 2024 the FS report was updated. Permits (including Mining exploitation licence, Environmental Permit, Mining Convention) awarded and enshrined in law by the Republic of Congo Government.</t>
  </si>
  <si>
    <t>Mont Sorcier</t>
  </si>
  <si>
    <t>Cerrado Gold</t>
  </si>
  <si>
    <t>https://cerradogold.com/images/Projects/Mont_Sorcier/VONE43-101MRE-July2022.pdf</t>
  </si>
  <si>
    <t>Canada</t>
  </si>
  <si>
    <t>FS Report Reference</t>
  </si>
  <si>
    <t>https://cerradogold.com/images/Projects/Mont_Sorcier/VONE-PEA-SEPT2022_compressed.pdf</t>
  </si>
  <si>
    <t>https://cerradogold.com/images/pdf/Presentations/2025/Mont-Sorcier-Presentation-v1.pdf</t>
  </si>
  <si>
    <t xml:space="preserve">https://cerradogold.com/images/pdf/Presentations/2025/Mont-Sorcier-Presentation-v1.pdf </t>
  </si>
  <si>
    <t>Ongoing Federal and Provincial
Environmental Permitting Process and Community and First Nations
Consultations</t>
  </si>
  <si>
    <t>PFS was completed in 2022</t>
  </si>
  <si>
    <t>PFS report was completed in 2024.</t>
  </si>
  <si>
    <t>https://www.championiron.com/</t>
  </si>
  <si>
    <t>https://www.championiron.com/wp-content/uploads/2024/03/2024-03-14-champion-iron-pre-feasibility-study-for-the-kamistiatusset-kami-iron-ore-property.pdf</t>
  </si>
  <si>
    <t>NI 43-101</t>
  </si>
  <si>
    <t>https://www.championiron.com/project/reserves-resources/</t>
  </si>
  <si>
    <t xml:space="preserve">https://kami.ca/ </t>
  </si>
  <si>
    <t xml:space="preserve">https://www.championiron.com/wp-content/uploads/2024/03/2024-03-14-champion-iron-pre-feasibility-study-for-the-kamistiatusset-kami-iron-ore-property.pdf </t>
  </si>
  <si>
    <t xml:space="preserve">https://www.zanagairon.com/the-zanaga-project/feasibility-study/ </t>
  </si>
  <si>
    <t>Champion Iron, Nippon Steel, Sojitz</t>
  </si>
  <si>
    <t>Champion Iron</t>
  </si>
  <si>
    <t>Iron Bear</t>
  </si>
  <si>
    <t>Cyclone Metals</t>
  </si>
  <si>
    <t>https://www.cyclonemetals.au/</t>
  </si>
  <si>
    <t>Iron Hills</t>
  </si>
  <si>
    <t>Barlow Metals</t>
  </si>
  <si>
    <t>https://ri.csnmineracao.com.br/en/</t>
  </si>
  <si>
    <t>Oceanic Iron Ore Corp</t>
  </si>
  <si>
    <t>Hopes Advance</t>
  </si>
  <si>
    <t xml:space="preserve">https://oceanicironore.com/ </t>
  </si>
  <si>
    <t>LKAB</t>
  </si>
  <si>
    <t>Vale</t>
  </si>
  <si>
    <t xml:space="preserve">Rio Tinto </t>
  </si>
  <si>
    <t>CMP</t>
  </si>
  <si>
    <t>ArcelorMittal (AMMC)</t>
  </si>
  <si>
    <t>https://mines-infrastructure-arcelormittal.com/en</t>
  </si>
  <si>
    <t>Norway</t>
  </si>
  <si>
    <t>Sweden</t>
  </si>
  <si>
    <t>Ukraine</t>
  </si>
  <si>
    <t>Australia</t>
  </si>
  <si>
    <t>Shymanivske</t>
  </si>
  <si>
    <t>https://blackiron.com/wp-content/uploads/2025/11/202511-Black-Iron-Green-Steel-Corp-Deck.pdf</t>
  </si>
  <si>
    <t>Black Iron Inc</t>
  </si>
  <si>
    <t>Samarco</t>
  </si>
  <si>
    <t>Metinvest</t>
  </si>
  <si>
    <t>South Africa</t>
  </si>
  <si>
    <t>MagIron LLC</t>
  </si>
  <si>
    <t xml:space="preserve">https://img1.wsimg.com/blobby/go/361b3a26-41ef-4cf5-a8fa-3bd92d5dc622/downloads/54edfe9b-40fc-4735-a4e1-7594430c4cee/24-001%20MagIron%20(Plant%204)%20Executive%20Summary%2013%20.pdf?ver=1768426688799 </t>
  </si>
  <si>
    <t>The FS report was prepared to estimate the capital costs required to restart Concentration Plant No. 4 and the pelletising facility.</t>
  </si>
  <si>
    <t>https://img1.wsimg.com/blobby/go/361b3a26-41ef-4cf5-a8fa-3bd92d5dc622/downloads/43cc4df4-42d5-496b-916e-250a473385f8/MagIron%20Press%20Release%20First%20Pellets_FINAL.pdf?ver=1768426688678</t>
  </si>
  <si>
    <t>USA</t>
  </si>
  <si>
    <t>Bloom Lake</t>
  </si>
  <si>
    <t xml:space="preserve">https://oceanicironore.com/_resources/presentations/corporate-presentation.pdf </t>
  </si>
  <si>
    <t>https://oceanicironore.com/_resources/pdfs/oceanic-tech-report-20200131.pdf</t>
  </si>
  <si>
    <t>Lake St Joseph</t>
  </si>
  <si>
    <t>Lac Otelunk</t>
  </si>
  <si>
    <t xml:space="preserve">https://www.cmp.cl/ </t>
  </si>
  <si>
    <t>Guinea</t>
  </si>
  <si>
    <t>https://www.riotinto.com/en</t>
  </si>
  <si>
    <t>Casa de Pedra and  Pire</t>
  </si>
  <si>
    <t xml:space="preserve">Brazil </t>
  </si>
  <si>
    <t>PFS updated in 2020</t>
  </si>
  <si>
    <t>https://blackiron.com/</t>
  </si>
  <si>
    <t xml:space="preserve">https://magironusa.com/ </t>
  </si>
  <si>
    <t>Santa Cruz and Urucum</t>
  </si>
  <si>
    <t xml:space="preserve">https://lhgmining.com.br/en/ </t>
  </si>
  <si>
    <t xml:space="preserve">https://lhgmining.com.br/en/operations/ </t>
  </si>
  <si>
    <t>Lhg Mining (Formerly J &amp; F Mineração)</t>
  </si>
  <si>
    <t xml:space="preserve">https://www.championiron.com/project/bloom-lake/ </t>
  </si>
  <si>
    <t>Reporting Standard</t>
  </si>
  <si>
    <t xml:space="preserve">https://www.championiron.com/wp-content/uploads/2023/10/cia-technical-report-ni-43-101-2023-3813138-000000-40-era-0002-r00.pdf </t>
  </si>
  <si>
    <t>Belinga</t>
  </si>
  <si>
    <t>Ivindo Iron</t>
  </si>
  <si>
    <t xml:space="preserve">https://ivindoiron.ga/fr/belinga-project?amp%3Bsc_site=Ivindo%20Iron </t>
  </si>
  <si>
    <t xml:space="preserve">https://ivindoiron.ga/fr </t>
  </si>
  <si>
    <t>Genmin</t>
  </si>
  <si>
    <t>Sydvaranger</t>
  </si>
  <si>
    <t>Holds operating concession and environmental permits. Definitive Feasibility Study (DFS) completed in August 2025. Planned restart in November 2026.</t>
  </si>
  <si>
    <t xml:space="preserve">https://www.grangex.se/en/the-operation/projects-operational-areas/grangex-sydvaranger/ </t>
  </si>
  <si>
    <t>GRANGEX</t>
  </si>
  <si>
    <t xml:space="preserve">https://www.grangex.se/en/ </t>
  </si>
  <si>
    <t xml:space="preserve">https://www.grangex.se/en/wp-content/uploads/sites/2/2021/10/sydvaranger-drift-as-dfs-exec-summary.pdf </t>
  </si>
  <si>
    <t>The company is the largest mining subsidiary of the ArcelorMittal Group in the world. It operates a mining complex, a crusher and a concentrator in Mont-Wright, a mine in Fire Lake, and a pellet plant in Port-Cartier. The combined production of our Mont-Wright and Fire Lake mines represents over 30% of the ArcelorMittal Group’s global iron ore supply. 10 million tons are processed into iron oxide pellets. In 2024, the company begun construction of a flotation circuit at the pelletising plant to upgrade output to 100% DR-grade quality.</t>
  </si>
  <si>
    <t xml:space="preserve">https://mines-infrastructure-arcelormittal.com/en/nos-mines </t>
  </si>
  <si>
    <t xml:space="preserve">https://cerradogold.com/ </t>
  </si>
  <si>
    <t xml:space="preserve">https://cerradogold.com/projects/mont-sorcier </t>
  </si>
  <si>
    <t xml:space="preserve">https://wcsecure.weblink.com.au/pdf/GEN/02953348.pdf </t>
  </si>
  <si>
    <t xml:space="preserve">https://minedocs.com/25/Baniaka-PFS-11162022.pdf </t>
  </si>
  <si>
    <t>Gabon</t>
  </si>
  <si>
    <t xml:space="preserve">PFS completed in 2022. Fully permitted, 20-year renewable mining licence. Mining Convention signed aligned with balanced Mining Code. Based on the PFS report the average iron ore grade would be 63.6 to 65.4%. </t>
  </si>
  <si>
    <t xml:space="preserve">https://announcements.asx.com.au/asxpdf/20250923/pdf/06pk6crv4jnk50.pdf </t>
  </si>
  <si>
    <t xml:space="preserve">https://www.genmingroup.com/ </t>
  </si>
  <si>
    <t xml:space="preserve">https://www.genmingroup.com/mining/baniaka/ </t>
  </si>
  <si>
    <t>Baniaka</t>
  </si>
  <si>
    <t>https://api.investi.com.au/api/announcements/cle/986dd151-19e.pdf</t>
  </si>
  <si>
    <t>https://www.listcorp.com/asx/cle/cyclone-metals-limited/news/pilot-plant-delivers-iron-ore-concentrate-grading-71-3-percentage-fe-3022250.html</t>
  </si>
  <si>
    <t>https://api.investi.com.au/api/announcements/cle/f4899e70-185.pdf</t>
  </si>
  <si>
    <t>https://api.investi.com.au/api/announcements/cle/6f8e886b-bba.pdf</t>
  </si>
  <si>
    <t>Metal Quest Mining</t>
  </si>
  <si>
    <t xml:space="preserve">https://metalquestmining.com/ </t>
  </si>
  <si>
    <t xml:space="preserve">https://metalquestmining.com/projects/lac-otelnuk/ </t>
  </si>
  <si>
    <t>Expected to start production by 2035</t>
  </si>
  <si>
    <t xml:space="preserve">https://metalquestmining.com/wp-content/uploads/2026/01/MetalQuest-Mining-Corporate-Presentation-Jan-2026.pdf </t>
  </si>
  <si>
    <t>https://drive.google.com/file/d/1QYpi4MknA1R9oUfh4Q7YvP97mrJFV5VG/view</t>
  </si>
  <si>
    <t xml:space="preserve">https://drive.google.com/file/d/1QYpi4MknA1R9oUfh4Q7YvP97mrJFV5VG/view </t>
  </si>
  <si>
    <t>Century Global Commodities Corporation</t>
  </si>
  <si>
    <t xml:space="preserve">https://centuryglobal.ca/projects/full-moon-project/ </t>
  </si>
  <si>
    <t xml:space="preserve">http://centuryglobal.ca/wp-content/uploads/2015/10/TR_PEA_2015-04-14_FullMoon.pdf </t>
  </si>
  <si>
    <t xml:space="preserve">https://centuryglobal.ca/ </t>
  </si>
  <si>
    <t>Preliminary Economic Assessment was done in 2015. No further significant updates.</t>
  </si>
  <si>
    <t>Scoping Study completed in August 2025. Development plan on track for Phase 2 in July 2026</t>
  </si>
  <si>
    <t>Kon Kweni</t>
  </si>
  <si>
    <t>Ivanhoe Atlantic</t>
  </si>
  <si>
    <t xml:space="preserve">https://ivanhoeatlantic.com/ </t>
  </si>
  <si>
    <t xml:space="preserve">https://ivanhoeatlantic.com/guinea/ </t>
  </si>
  <si>
    <t xml:space="preserve">https://ivanhoeatlantic.com/key-environmental-approvals-secured-liberia/ </t>
  </si>
  <si>
    <t>Logistics and infrastructures remain the main challenge facing the development of African mines, including Kon Kweni.</t>
  </si>
  <si>
    <t xml:space="preserve">Simandou North </t>
  </si>
  <si>
    <t>Arrow Minerals</t>
  </si>
  <si>
    <t xml:space="preserve">https://arrowminerals.com.au/project/simandou-north-iron-project/ </t>
  </si>
  <si>
    <t xml:space="preserve">https://arrowminerals.com.au/ </t>
  </si>
  <si>
    <t xml:space="preserve">https://app.sharelinktechnologies.com/announcement/asx/2762ddc83ab8e1b9d54937ed7c8608cb </t>
  </si>
  <si>
    <t>There has been insufficient exploration to estimate a Mineral Resource, and it remains uncertain whether further exploration would allow for such an estimate. The company’s tenements have been cancelled, and it is unclear how this situation will develop in the future.</t>
  </si>
  <si>
    <t xml:space="preserve">https://app.sharelinktechnologies.com/announcement-preview/asx/3a69b758bb2f0377639a4a5c2cf30e3e </t>
  </si>
  <si>
    <t xml:space="preserve">https://app.sharelinktechnologies.com/announcement/asx/d1e9ab5b2fb2b8396463691b4e05f3a4 </t>
  </si>
  <si>
    <t xml:space="preserve">https://app.sharelinktechnologies.com/announcement/asx/e3641ba966593a7d219494ed57a50219 </t>
  </si>
  <si>
    <t>There has been insufficient exploration to estimate a Mineral Resource, and it remains uncertain whether further exploration would allow for such an estimate</t>
  </si>
  <si>
    <t xml:space="preserve">https://storage.mfn.se/22e289d6-fbea-4433-b9f7-16c20e73b5d0/grangex-investor-pres-f.pdf </t>
  </si>
  <si>
    <t xml:space="preserve">https://blackiron.com/wp-content/uploads/2021/07/202003-Black-Iron-Amended-PEA.pdf </t>
  </si>
  <si>
    <t>Cadence</t>
  </si>
  <si>
    <t>Amapa</t>
  </si>
  <si>
    <t xml:space="preserve">https://www.cadenceminerals.com/ </t>
  </si>
  <si>
    <t xml:space="preserve">https://www.cadenceminerals.com/wp-content/uploads/2026/01/Cadence-Jan-2026.pdf </t>
  </si>
  <si>
    <t xml:space="preserve">https://www.londonstockexchange.com/news-article/KDNC/amapa-iron-ore-project-update/16781073 </t>
  </si>
  <si>
    <t>https://www.londonstockexchange.com/news-article/KDNC/updated-pfs-economic-study-delivers-increased-npv/16791904</t>
  </si>
  <si>
    <t>Jambreiro</t>
  </si>
  <si>
    <t>Centaurus Metals Limited</t>
  </si>
  <si>
    <t xml:space="preserve">https://www.centaurus.com.au/site/content/ </t>
  </si>
  <si>
    <t xml:space="preserve">https://www.centaurus.com.au/site/projects/jambreiro-iron-ore-project </t>
  </si>
  <si>
    <t xml:space="preserve">https://www.centaurus.com.au/site/PDF/e4290ac9-e55d-4ff9-893c-d4708aecb9bf/JambreiroPreFeasibilityStudyannouncement </t>
  </si>
  <si>
    <t xml:space="preserve">https://www.centaurus.com.au/site/pdf/d1756a00-61f8-42ab-976b-95e3740a3f3c/Rule-Symposium-Presentation-July-2025.pdf?Platform=ListPage </t>
  </si>
  <si>
    <t xml:space="preserve">https://www.centaurus.com.au/site/pdf/0c0a8c01-3cfc-4948-93b7-9cfc3e06c3f6/Jambreiro-Testwork-Successfully-Produces-DR-Pellet-Feed.pdf </t>
  </si>
  <si>
    <t xml:space="preserve">https://www.centaurus.com.au/site/projects/resources-reserves </t>
  </si>
  <si>
    <t>Nordic Iron</t>
  </si>
  <si>
    <t>Blötberg</t>
  </si>
  <si>
    <t xml:space="preserve">https://nordiciron.se/ </t>
  </si>
  <si>
    <t xml:space="preserve">https://nordiciron.se/mfn_news/uppdatering-kring-utvecklingen-av-blotbergsprojektet-2/ </t>
  </si>
  <si>
    <t>Early stages of exploration and Feasibility assessments</t>
  </si>
  <si>
    <t>https://storage.mfn.se/74c9ec69-f3dc-4c6e-8201-a41529e704f6/nio-ar-2024-eng-16-apr.pdf</t>
  </si>
  <si>
    <t>Red Paramount Iron</t>
  </si>
  <si>
    <t>Lac Virot</t>
  </si>
  <si>
    <t>https://redparamount.ca/lac-virot-project/</t>
  </si>
  <si>
    <t>https://redparamount.ca/</t>
  </si>
  <si>
    <t xml:space="preserve">https://redparamount.ca/wp-content/uploads/2025/02/NI43_101_for-the-LacVirot-Project_FINAL_FEB-19-2025.pdf </t>
  </si>
  <si>
    <t>Labrador West</t>
  </si>
  <si>
    <t>High Tide Resources</t>
  </si>
  <si>
    <t>https://hightideresources.com/projects/labrador-west/</t>
  </si>
  <si>
    <t xml:space="preserve">https://hightideresources.com/investors/presentations/ </t>
  </si>
  <si>
    <t>Buena Vista Magnetite Project</t>
  </si>
  <si>
    <t>Magnum mining and exploration limited</t>
  </si>
  <si>
    <t>https://www.mmel.com.au/site/content/</t>
  </si>
  <si>
    <t>https://www.mmel.com.au/site/projects-and-products/buena-vista-magnetite-project</t>
  </si>
  <si>
    <t>https://www.mmel.com.au/site/projects-and-products/mining/jorc-2012-mineral-resource-estimate</t>
  </si>
  <si>
    <t>Buena Vista ore is of magmatic origin and as a consequence 
is coarser</t>
  </si>
  <si>
    <t>Mining lease granted, Plan Economic evaluation(PAE) approved.</t>
  </si>
  <si>
    <t xml:space="preserve">https://www.baffinland.com/ </t>
  </si>
  <si>
    <t xml:space="preserve">https://www.baffinland.com/operation/mary-river-mine/ </t>
  </si>
  <si>
    <t>Mary River</t>
  </si>
  <si>
    <t xml:space="preserve">Kumba Iron Ore limited </t>
  </si>
  <si>
    <t>Kaunias Iron</t>
  </si>
  <si>
    <t>Tapuli</t>
  </si>
  <si>
    <t>https://grokipedia.com/page/tapuli</t>
  </si>
  <si>
    <t>Grängesberg Iron AB</t>
  </si>
  <si>
    <t>Anglesey mining</t>
  </si>
  <si>
    <t>https://www.angleseymining.co.uk/grangesberg/</t>
  </si>
  <si>
    <t>Dannemora</t>
  </si>
  <si>
    <t>https://www.grangex.se/en/wp-content/uploads/sites/2/2025/01/DFS-2024.pdf</t>
  </si>
  <si>
    <t xml:space="preserve">https://www.grangex.se/en/wp-content/uploads/sites/2/2025/01/DFS-2024.pdf </t>
  </si>
  <si>
    <t>Definitive Feasibility Study was prepared in June 2024.</t>
  </si>
  <si>
    <t xml:space="preserve">https://www.angleseymining.co.uk/grangesberg/ </t>
  </si>
  <si>
    <t xml:space="preserve">https://www.angleseymining.co.uk/ </t>
  </si>
  <si>
    <t>https://www.angleseymining.co.uk/wp-content/uploads/2022/07/AYM_RNS_Grangesberg_PFS_results.pdf</t>
  </si>
  <si>
    <t xml:space="preserve">https://www.angleseymining.co.uk/wp-content/uploads/2022/07/AYM_RNS_Grangesberg_PFS_results.pdf </t>
  </si>
  <si>
    <t xml:space="preserve">Underground mining. </t>
  </si>
  <si>
    <t xml:space="preserve">The company went bankrupt in 2015, and the bankruptcy estate was purchased in 2016. Today, the mine is operated by Dannemora Iron AB, a subsidiary of GRANGEX. Underground mining. </t>
  </si>
  <si>
    <t>There is still a lot of work to do at Grängesberg, including consolidation of the asset, as well as updating both the resource and reserve models and undertaking environmental assessment studies as preliminary steps to preparing a Feasibility Study.</t>
  </si>
  <si>
    <t>Pedra de Ferro</t>
  </si>
  <si>
    <t>Bahia Mineração (Bamin)</t>
  </si>
  <si>
    <t xml:space="preserve">https://www.miningreporters.com/noticia/news/2025/10/erg-weighs-offers-bamin-iron-ore-project-brazil-2025 </t>
  </si>
  <si>
    <t>Eurasian Resources Group (ERG) is reviewing three offers for its $5.7B Bamin iron ore project in Brazil, which includes a mine, deep-sea port, and 537 km railway, with first shipment now delayed to 2031. ERG aims to select and present a new investor to Brazil’s government by the end of the first quarter of 2026. Once fully operational, Bamin is expected to yield up to 26 million tonnes of iron ore annually.</t>
  </si>
  <si>
    <t>Brazil Iron</t>
  </si>
  <si>
    <t>Ferro Verde (Conceição, Jussiape, and Mocó)</t>
  </si>
  <si>
    <t xml:space="preserve">https://braziliron.com.br/en/ferro-verde-na-chapadadiamantina/ </t>
  </si>
  <si>
    <t xml:space="preserve">https://braziliron.com.br/en/brazil-iron-announces-1-7-billion-tonne-ni-43-101-resource-strengthening-foundation-for-5-mtpa-hbi-project/ </t>
  </si>
  <si>
    <t xml:space="preserve">https://braziliron.com.br/ </t>
  </si>
  <si>
    <t>Ferro Verde includes three open-pit mines—Conceição, Jussiape, and Mocó—and is centered in the municipalities of Piatã, Abaíra, and Jussiape in Bahia. The BFS is scheduled for completion in Q1 2026. This project is based 1.7 billion tonnes of resources and planned for 7.5Mtpa pellet feed, 7.1Mtpa DR-grade pellet and 5Mtpa HBI.</t>
  </si>
  <si>
    <t xml:space="preserve">https://www.bamin.com.br/en </t>
  </si>
  <si>
    <t>The project remains at an early stage, as key infrastructure including rail and port facilities has faced significant delays</t>
  </si>
  <si>
    <t xml:space="preserve">https://www.takamul.mr/en/about-us/ </t>
  </si>
  <si>
    <t>Mauritania</t>
  </si>
  <si>
    <t>Atomai</t>
  </si>
  <si>
    <t>Atomai (SABIC, SNIM)</t>
  </si>
  <si>
    <t>El Aouj</t>
  </si>
  <si>
    <t>SNIM, Sphere Minerals Limited (Glencore)</t>
  </si>
  <si>
    <t xml:space="preserve">https://announcements.asx.com.au/asxpdf/20151126/pdf/433bsghfwl7x7r.pdf </t>
  </si>
  <si>
    <t>Similar to current production at SNIM’s facilities, the silica content of this iron ore concentrate is higher than typical DR-grade requirements. The feasibility study (FS) was completed in 2015.</t>
  </si>
  <si>
    <t xml:space="preserve">https://www.mauritanidesmr.com/sponsors/el-aouj-mining-company </t>
  </si>
  <si>
    <t xml:space="preserve">https://www.snim.com/en </t>
  </si>
  <si>
    <t xml:space="preserve">https://cdn-rio.dataweavers.io/-/media/content/documents/invest/reserves-and-resources/rt-mineral-resources-ore-reserves-updates-ar2023.pdf?rev=0d170288845c4ea3814ddc5b36b9391a </t>
  </si>
  <si>
    <t>Carol Lake (IOC)</t>
  </si>
  <si>
    <t xml:space="preserve">In 2025, IOC’s total saleable production reached 15.9 Mt, comprising 9.35 Mt of pellets and 6.5 Mt of concentrate. </t>
  </si>
  <si>
    <t xml:space="preserve">https://www.cmp.cl/wp-content/uploads/2024/08/CMP_ENG_Cap1_Desarrollo-del-negocio-minero.pdf </t>
  </si>
  <si>
    <t xml:space="preserve">https://www.barlowmetal.ca/en/our-projects/project/iron-hills-project </t>
  </si>
  <si>
    <t xml:space="preserve">https://www.barlowmetal.ca/en </t>
  </si>
  <si>
    <t>https://www.barlowmetal.ca/components/com_gdwgestion/download.php?fileid=406</t>
  </si>
  <si>
    <t>PEA study 2025</t>
  </si>
  <si>
    <t>https://www.barlowmetal.ca/components/com_gdwgestion/download.php?fileid=407</t>
  </si>
  <si>
    <t>https://www.barlowmetal.ca/components/com_gdwgestion/download.php?fileid=469</t>
  </si>
  <si>
    <t>Mont-Wright &amp; Fire Lake</t>
  </si>
  <si>
    <t xml:space="preserve">https://corporate.arcelormittal.com/media/shgb4sw5/arcelor-mittal-fact-book-2023.pdf </t>
  </si>
  <si>
    <t>Baffinland Iron Mines Corp, ArcelorMittal</t>
  </si>
  <si>
    <t xml:space="preserve">https://www.baffinland.com/media-centre/news-releases/baffinland-moves-forward-with-steensby-component-of-the-mary-river-project--cleared-to-begin-construction </t>
  </si>
  <si>
    <t>Construction of new port and rail is expected to begin later in 2026, subject to final financing and construction arrangements, with substantial completion targeted in approximately three additional years. </t>
  </si>
  <si>
    <t>Rockex mining corporation</t>
  </si>
  <si>
    <t xml:space="preserve">https://rockexmining.com/i/pdf/Technical-Report-Oct2015.pdf </t>
  </si>
  <si>
    <t>There is no new update after 2015. FS report was prepared for HBI production.</t>
  </si>
  <si>
    <t xml:space="preserve">https://rockexmining.com/s/Investors.asp.html </t>
  </si>
  <si>
    <t xml:space="preserve">https://rockexmining.com/s/Lake_St_Joseph.asp.html </t>
  </si>
  <si>
    <t xml:space="preserve">https://rockexmining.com/index.html </t>
  </si>
  <si>
    <t>LHG Mining, which commenced operations in 2022, produces 12 Mtpa of iron ore, around 70% of which is high-grade lump. The company plans to increase production to 25 Mtpa by 2029. The company branded its product as a natural pellet.</t>
  </si>
  <si>
    <t xml:space="preserve">https://portergeo.com.au/database/mineinfo.php?mineid=mn332 </t>
  </si>
  <si>
    <t xml:space="preserve">https://www.srk.com/en/publications/technical-reports-for-corumba-43-101 </t>
  </si>
  <si>
    <t xml:space="preserve">Sishen </t>
  </si>
  <si>
    <t xml:space="preserve">https://www.angloamericankumba.com/ </t>
  </si>
  <si>
    <t xml:space="preserve">https://www.angloamerican.com/~/media/Files/A/Anglo-American-Group-v9/PLC/investors/annual-reporting/2024/anglo-american-ore-reserves-and-mineral-resources-report-2024.pdf </t>
  </si>
  <si>
    <t>Kolomela</t>
  </si>
  <si>
    <t xml:space="preserve">Kumba has announced an investment in ultra-high-dense media separation (UHDMS) processing technology for its operation in Sishen mine, which is expected to increase production capacity by 15 Mtpa and more than triple the share of premium lump ore, from 18% to 55%. </t>
  </si>
  <si>
    <t xml:space="preserve">https://www.angloamerican.com/our-stories/innovation-and-technology/mine-profile-sishen </t>
  </si>
  <si>
    <t xml:space="preserve">https://www.angloamericankumba.com/our-business/operations </t>
  </si>
  <si>
    <t xml:space="preserve">Gabon </t>
  </si>
  <si>
    <t xml:space="preserve">https://portergeo.com.au/database/mineinfo.php?mineid=mn1211 </t>
  </si>
  <si>
    <t xml:space="preserve">https://www.afr.com/companies/mining/fortescue-aims-for-2030-debut-in-african-iron-ore-20251222-p5npgu </t>
  </si>
  <si>
    <t xml:space="preserve">https://minedocs.com/26/Casa-de-Pedra-TRS-FINAL-10202022.pdf </t>
  </si>
  <si>
    <t>PERC Standards 2021</t>
  </si>
  <si>
    <t xml:space="preserve">https://lkab.mediaflowportal.com/documents/folder/231556/ </t>
  </si>
  <si>
    <t xml:space="preserve">https://lkab.com/en/ </t>
  </si>
  <si>
    <t>In 2023, 26.2Mt were produced of which 84% was pellet, in 2024 figures was 22.7Mt and 87%. Q1-Q3 of 2025, 19.4 and 87%.</t>
  </si>
  <si>
    <t xml:space="preserve">https://minergyresources.com/bahia.php#:~:text=The%20state%20of%20Bahia%20lies,(332.369%20tons/year). </t>
  </si>
  <si>
    <t xml:space="preserve">https://www.kaunisiron.se/en/about-us/our-history/ </t>
  </si>
  <si>
    <t>https://www.kaunisiron.se/en/</t>
  </si>
  <si>
    <t>Camina S.A (Jindal Group)</t>
  </si>
  <si>
    <t>Cameroon</t>
  </si>
  <si>
    <t xml:space="preserve">https://www.legendmining.com.au/reports/ASX20110526_AGMPresentation.pdf </t>
  </si>
  <si>
    <t>Ngovayang</t>
  </si>
  <si>
    <t>https://jindalresources.com/company-camina-sa</t>
  </si>
  <si>
    <t xml:space="preserve">https://jindalresources.com/company-camina-sa </t>
  </si>
  <si>
    <t xml:space="preserve">https://www.woodplc.com/news/latest-press-releases/2025/wood-secures-contract-on-early-cameroon-mining-project#:~:text=Home-,Wood%20secures%20contract%20on%20early%20Cameroon%20mining%20project,requiring%20complex%20engineering%20design%20solutions. </t>
  </si>
  <si>
    <t xml:space="preserve">CAMINA S.A. is developing an integrated 7.2 MTPA Iron Ore concentrate project designed to support regional industry and long-term raw material security. </t>
  </si>
  <si>
    <t xml:space="preserve">https://legendmining.com.au/reports/2011AprilMinelifeArticle.pdf </t>
  </si>
  <si>
    <t xml:space="preserve">https://direct.euronext.com/api/PublicAnnouncements/RISDocument/Metinvest_JORC%202021%20Results_27%20April%202022.pdf?id=db8b9841-279d-4ace-9c4d-5fd20d20abe8 </t>
  </si>
  <si>
    <t xml:space="preserve">https://metinvestholding.com/ </t>
  </si>
  <si>
    <t xml:space="preserve">https://metinvestholding.com/en/products/semi-finished-products/iron-ore-concentrate </t>
  </si>
  <si>
    <t>Rana Gruber</t>
  </si>
  <si>
    <t xml:space="preserve">https://ranagruber.no/ </t>
  </si>
  <si>
    <t xml:space="preserve">https://ranagruber.no/about-us/resources-and-mines/ </t>
  </si>
  <si>
    <t xml:space="preserve">https://newsroom.championiron.com/2025-12-21-CHAMPION-IRON-TO-LAUNCH-CASH-TENDER-OFFER-TO-ACQUIRE-RANA-GRUBER,-RECEIVES-FINANCIAL-SUPPORT-FROM-LA-CAISSE-AND-A-TERM-LOAN-COMMITMENT-FROM-SCOTIABANK </t>
  </si>
  <si>
    <t xml:space="preserve">https://www.mmel.com.au/site/projects-and-products/mining/metallurgy </t>
  </si>
  <si>
    <t>Stensundtjern, Ørtfjell</t>
  </si>
  <si>
    <t xml:space="preserve">https://ranagruber.no/wp-content/uploads/CMD-2025_-Presentation.pdf </t>
  </si>
  <si>
    <t>Rana Gruber, the only iron ore producer in Norway, has announced plans to switch to producing high-quality iron ore concentrate with an iron content of 67% by 2029.</t>
  </si>
  <si>
    <t>Beowulf Mining</t>
  </si>
  <si>
    <t xml:space="preserve">https://beowulfmining.com/ </t>
  </si>
  <si>
    <t xml:space="preserve">https://beowulfmining.com/projects/sweden/kallak/ </t>
  </si>
  <si>
    <t xml:space="preserve">https://beowulfmining.com/projects/sweden/kallak/#geology </t>
  </si>
  <si>
    <t xml:space="preserve">https://beowulfmining.com/wp-content/uploads/2026/01/Beowulf-Corporate-Presentation-Q1-2026.pdf </t>
  </si>
  <si>
    <t>Jokkmokk Iron (Kallak deposit)</t>
  </si>
  <si>
    <t>https://www.londonstockexchange.com/news-article/BEM/kallak-iron-ore-project-summary/17034776</t>
  </si>
  <si>
    <t xml:space="preserve">https://www.riotinto.com/en/news/releases/2023/simandou-iron-ore-project-update </t>
  </si>
  <si>
    <t xml:space="preserve">https://www.snim.com/sites/default/files/SNIM-Annual%20report%202023_En.pdf </t>
  </si>
  <si>
    <t xml:space="preserve">https://www.barlowmetal.ca/components/com_gdwgestion/download.php?fileid=406 </t>
  </si>
  <si>
    <t>MagIorn (Pellet)</t>
  </si>
  <si>
    <t xml:space="preserve">Based on the available test results, this mine will predominantly produce BF-grade material, with an average silica content of around 4.5%. Option 2 of the FS report was used for the financial data. </t>
  </si>
  <si>
    <t>Region</t>
  </si>
  <si>
    <t>Africa</t>
  </si>
  <si>
    <t>North America</t>
  </si>
  <si>
    <t>Europe</t>
  </si>
  <si>
    <t xml:space="preserve">https://snim.com/sites/default/files/SNIM-Annual%20report%202023_En.pdf </t>
  </si>
  <si>
    <t xml:space="preserve">https://rockexmining.com/i/pdf/2015-11_DanieliCentroMetallics.pdf </t>
  </si>
  <si>
    <t>The project was awarded the development Major Project Status (MPS), effective from February 11, 2026, for a three-year period. A key benefit of Major Project Status is enhanced support from the Major Projects Facilitation Agency (MPFA) as a single point of contact. This enables a streamlined and more efficient process for obtaining all required approvals.</t>
  </si>
  <si>
    <t xml:space="preserve">https://www.grangex.se/en/the-operation/projects-operational-areas/dannemora-mine/ </t>
  </si>
  <si>
    <t>Vale (all deposits)</t>
  </si>
  <si>
    <t>S-K 1300</t>
  </si>
  <si>
    <t xml:space="preserve">https://api.mziq.com/mzfilemanager/v2/d/53207d1c-63b4-48f1-96b7-19869fae19fe/52596bfd-eed8-6b4a-ce2d-6e4bc02d7353?origin=2 </t>
  </si>
  <si>
    <t xml:space="preserve">https://www.vale.com/ </t>
  </si>
  <si>
    <t xml:space="preserve">https://ri.samarco.com/en/ </t>
  </si>
  <si>
    <t>Samarco (all deposits)</t>
  </si>
  <si>
    <t>South America</t>
  </si>
  <si>
    <t>Metinvest (all deposits)</t>
  </si>
  <si>
    <t>CMP (all deposits)</t>
  </si>
  <si>
    <t>LKAB (all deposits)</t>
  </si>
  <si>
    <t>Full Moon (Rainy Lake deposit)</t>
  </si>
  <si>
    <t>Simandou (Blocks 3 and 4 )</t>
  </si>
  <si>
    <t xml:space="preserve">https://hightideresources.com/site/assets/files/7122/high_tide_resources_ni_43-101_report_labrador_west_iron_project_final_2023.pdf?17iokk </t>
  </si>
  <si>
    <t xml:space="preserve">https://hightideresources.com/ </t>
  </si>
  <si>
    <t xml:space="preserve">https://hightideresources.com/projects/labrador-west/ </t>
  </si>
  <si>
    <t>Operating &amp; Expansion</t>
  </si>
  <si>
    <t>Oceania</t>
  </si>
  <si>
    <t>https://wcsecure.weblink.com.au/pdf/IRD/02079052.pdf</t>
  </si>
  <si>
    <t>https://wcsecure.weblink.com.au/pdf/HIO/03038544.pdf</t>
  </si>
  <si>
    <t>https://athenaresources.com.au/wp-content/uploads/2024/05/Athena-Scoping-Study-May-2024-web8893-1.pdf</t>
  </si>
  <si>
    <t>https://announcements.asx.com.au/asxpdf/20220321/pdf/45767f9j59nd4m.pdf</t>
  </si>
  <si>
    <t>https://announcements.asx.com.au/asxpdf/20210705/pdf/44y0fwc23vzhn0.pdf</t>
  </si>
  <si>
    <t>Element Zero (Malaga Continuous Trial Plant)</t>
  </si>
  <si>
    <t>Byro (FE1 &amp; South)</t>
  </si>
  <si>
    <t>https://wcsecure.weblink.com.au/pdf/AHN/03029043.pdf</t>
  </si>
  <si>
    <t>https://www.listcorp.com/asx/ahn/athena-resources-limited/news/scoping-study-byro-fe1-magnetite-project-3033683.html</t>
  </si>
  <si>
    <t>https://www.peakiron.com/hawks-nest-iron-ore-project</t>
  </si>
  <si>
    <t xml:space="preserve">https://www.mtalexanderironore.com.au/ </t>
  </si>
  <si>
    <t>https://www.gfgalliance.com/simec/</t>
  </si>
  <si>
    <t>Lincoln and Revera Energy have signed a Memorandum of Understanding (MOU) for a potential Joint Venture to develop an iron ore pellet plant on South Australia's Eyre Peninsula. The MOU sets out the proposed joint scope of work for Revera and Lincoln Minerals to
undertake as they investigate a potential Joint Venture for a DR-grade green pellet plant using green hydrogen as an alternative fuel to natural gas in the induration process.</t>
  </si>
  <si>
    <t>With a JORC resource of 1.2 billion tonnes of magnetite iron ore, the Green Iron Magnetite Project has demonstrated strong metallurgical recoveries and a high-quality end product. Previous studies considered production scenarios ranging from 3-10Mtpa. Next steps are partnering to complete a DFS and mining lease. The company signed an MoU with Revera energy to jointly undertake a scoping study for a potential DR-grade green pellet plant at Cape Hardy on the Eyre Peninsula.</t>
  </si>
  <si>
    <t>In 5 December 2025 Burley Minerals Ltd announced relinquishment of Yerecoin Iron Project tenements</t>
  </si>
  <si>
    <t>https://wcsecure.weblink.com.au/pdf/BUR/03034011.pdf</t>
  </si>
  <si>
    <t>https://www.kararamining.com.au/high-grade-fe-magnetite/</t>
  </si>
  <si>
    <t>Magnetite Mines is developing its 100%-owned Razorback Iron Ore Project, with Stage 1 operations designed to produce 5Mtpa of magnetite concentrates, expandable to 10Mtpa. The PFS was completed in 2022, and the company is  funding and advancing into the DFS phase. The project was awarded the development Major Project Status (MPS), effective from February 11, 2026, for a three-year period. A key benefit of Major Project Status is enhanced support from the Major Projects Facilitation Agency (MPFA) as a single point of contact. This enables a streamlined and more efficient process for obtaining all required approvals.</t>
  </si>
  <si>
    <t xml:space="preserve">Australia </t>
  </si>
  <si>
    <t xml:space="preserve">Global </t>
  </si>
  <si>
    <t>Lincoln Minerals Eyre Magnetite Project</t>
  </si>
  <si>
    <t>The weighted average of all resources was used including Moonshine and Moonshine North as well as Sandalwood, Clark Hill North, Clark Hill South and Snark. Iron ore concentrate data was taken from the Feasibility Study. Mass recovery is also based on the weighted average. In 2024, the Company entered into an agreement granting Gold Valley the right to extract hematite ore from the Lake Giles Ularring Hematite Project in Western Australia.</t>
  </si>
  <si>
    <t>Tempest Minerals Ltd (TEM) is pleased to update the market on the progress of the ongoing collaboration with Green Steel and Iron Pty Ltd (GISA). The two parties have signed a binding agreement to progress the proposed establishment and development of a green steel production facility in the Yalgoo region. Tempest Minerals Ltd (TEM) is pleased to advise the completion of the transaction with Capricorn Metals Limited (CMM) for CMM to acquire the Yalgoo Project for consideration of $4.5 million. TEM retains ownership of the iron mineralisation bearing eastern tenements which host both the Remorse Deposit and more recently identified Halo Target and TEM has granted to CMM exploration and development rights in respect for minerals other than iron ore.</t>
  </si>
  <si>
    <t>CMP produce both DR and BF grade concentrate.</t>
  </si>
  <si>
    <t>Reference Chart</t>
  </si>
  <si>
    <t xml:space="preserve">https://www.zanagairon.com/ </t>
  </si>
  <si>
    <t xml:space="preserve">https://www.cyclonemetals.au/iron-bear/overview/ </t>
  </si>
  <si>
    <t xml:space="preserve">https://oceanicironore.com/projects/ungava-bay-iron-ore-deposits/ </t>
  </si>
  <si>
    <t xml:space="preserve">https://blackiron.com/project-overview/ </t>
  </si>
  <si>
    <t xml:space="preserve">https://www.riotinto.com/en/operations/africa/simandou </t>
  </si>
  <si>
    <t xml:space="preserve">https://ri.csnmineracao.com.br/en/company/history-and-corporate-profile/ </t>
  </si>
  <si>
    <t xml:space="preserve">https://www.cadenceminerals.com/projects/amapa-iron/ </t>
  </si>
  <si>
    <t xml:space="preserve">https://nordiciron.se/verksamhet/vara-omraden/blotberget/ </t>
  </si>
  <si>
    <t xml:space="preserve">https://redparamount.ca/lac-virot-project/ </t>
  </si>
  <si>
    <t xml:space="preserve">https://www.mmel.com.au/site/projects-and-products/buena-vista-magnetite-project </t>
  </si>
  <si>
    <t xml:space="preserve">https://www.ironore.ca/en </t>
  </si>
  <si>
    <t xml:space="preserve">https://macarthurminerals.com/lake-giles-processing-plant-conceptual-flythrough/ </t>
  </si>
  <si>
    <t>NeoSmelt, which is managed by BlueScope, plans to develop Australia’s largest DRI-ESF pilot plant at the Kwinana Industrial Area, south of Perth, to demonstrate a method to produce lower-carbon emissions molten iron from WA iron ore. A A$19.8 million government grant will support a A$48.8 million FEED study for the project. FID is expected in 2026, with operations at Kwinana planned to begin in 2028. In June 2025, Energiron was selected as the supplier for the DRI pilot plant for this project, with a capacity of 50,000 tonnes per year.</t>
  </si>
  <si>
    <t>SimFer (Rio Tinto, CIOH)</t>
  </si>
  <si>
    <t>https://simfer-sa.com/en/</t>
  </si>
  <si>
    <t xml:space="preserve">Calix’s ZESTY (Zero Emissions Steel Technology) process is an extension of its core CFC(Calix Flash Calciner) technology in which iron ore fines iron ore feed (typically &lt; 500µm) is introduced at the top of the reactor and hydrogen at the base in a counter-flow arrangement. The  process is compatible with low-grade ores and  intermittent operation. Calix has undertaken a FEED study for a 30,000tpa equivalent hydrogen-based DRI demonstration plant in Kwinana, WA.  This demonstration facility is supported by a A$44.9 million ARENA grant. In November 2025, Rio Tinto signed a Joint Development Agreement with Zesty to support the plant construction.  </t>
  </si>
  <si>
    <t>Concentrate specification is based on Available cargoes in Mar-Apr 2026: 62% and 65% Fe Karara Standard Magnetite Concentrate.</t>
  </si>
  <si>
    <t>Asia Iron Australia Ltd, Terra Mining, Extension Hill Pty Ltd</t>
  </si>
  <si>
    <t>In may 2025, the Environmental Management Plan for the Yogi Magnetite Project was approved by the Department of Water and Environmental Regulation (DWER)</t>
  </si>
  <si>
    <t>The FS was prepared early 2026. MagIron Announces Plant 4 Now Fully Permitted at December 2024.</t>
  </si>
  <si>
    <t>LP Granted and municipal settlement resolved</t>
  </si>
  <si>
    <t xml:space="preserve">Production capacity is 2Mtpa. The company plans to operate two open-pit mines, starting with Sahavaara, followed by the Palotieva mine within the next 8 to 10 years. New flotation process started in 2024 and enable the facility to produce DR-grade ores with over 69% iron content. </t>
  </si>
  <si>
    <t>In February 2025 Wood was awarded an engineering scope for the Ngovayang Iron Ore project in Southern Cameroon.</t>
  </si>
  <si>
    <t xml:space="preserve">Currently they produce iron ore with 65% iron. Current production of the company is around 1.8Mt. In December 2025, champion iron launched a cash tender offer to acquire rana gruber. </t>
  </si>
  <si>
    <t xml:space="preserve">ERG is looking for new investors to execute this expansion project. </t>
  </si>
  <si>
    <t>Company-Has-Link</t>
  </si>
  <si>
    <t>Company-No-Link</t>
  </si>
  <si>
    <t>Title-Has-Link</t>
  </si>
  <si>
    <t>Title-No-Link</t>
  </si>
  <si>
    <t>Minedex</t>
  </si>
  <si>
    <t>Sarig</t>
  </si>
  <si>
    <t>Link</t>
  </si>
  <si>
    <t>https://minedex.dmirs.wa.gov.au/Web/projects/details/2a2fe3da-834b-4af8-b1fc-2b056083534b</t>
  </si>
  <si>
    <t>https://minedex.dmirs.wa.gov.au/Web/sites/details/5d4cc2c8-f9c9-4791-baf9-45bae3fe04db</t>
  </si>
  <si>
    <t>No link</t>
  </si>
  <si>
    <t>https://minedex.dmirs.wa.gov.au/Web/sites/details/78fb7072-c666-4088-a7d9-b56b3cfa5fcb</t>
  </si>
  <si>
    <t>https://minedex.dmirs.wa.gov.au/Web/projects/details/aa5eda78-4085-4486-b600-5bbd9c9774ad</t>
  </si>
  <si>
    <t>https://minedex.dmirs.wa.gov.au/Web/sites/details/67a0a806-a813-494d-a5c9-4e09fa8a709d</t>
  </si>
  <si>
    <t>https://minedex.dmirs.wa.gov.au/Web/projects/details/378a4b19-2ad7-4953-8503-4d35b3e436da</t>
  </si>
  <si>
    <t>https://minedex.dmirs.wa.gov.au/Web/projects/details/5041f035-f389-4298-8466-142fb1bee1b9</t>
  </si>
  <si>
    <t>https://minedex.dmirs.wa.gov.au/Web/sites/details/459787ec-01f8-49b0-b542-db4c4d3cff66</t>
  </si>
  <si>
    <t>https://minedex.dmirs.wa.gov.au/Web/sites/details/bfa106c1-c86b-4c33-95e5-552b71223d0f</t>
  </si>
  <si>
    <t>https://minedex.dmirs.wa.gov.au/Web/projects/details/8492d996-2abf-4c7d-8430-2c7a40973111</t>
  </si>
  <si>
    <t>https://minedex.dmirs.wa.gov.au/Web/projects/details/4589687e-adab-4466-a661-bd0a0d0f43df</t>
  </si>
  <si>
    <t>https://minedex.dmirs.wa.gov.au/Web/sites/details/4e365f61-c6f6-423a-8b5e-85e10b812902</t>
  </si>
  <si>
    <t>https://minedex.dmirs.wa.gov.au/Web/projects/details/440df72d-ee0c-4664-9d97-92d34fcec326</t>
  </si>
  <si>
    <t>https://minedex.dmirs.wa.gov.au/Web/projects/details/27236849-4c89-40ea-b8c2-c29220fcae3a</t>
  </si>
  <si>
    <t>No Link</t>
  </si>
  <si>
    <t>https://minedex.dmirs.wa.gov.au/Web/sites/details/073a114a-f223-4893-9aec-a7b15c1cef7c</t>
  </si>
  <si>
    <t>https://minedex.dmirs.wa.gov.au/Web/projects/details/79f7c36c-dc97-4c68-b883-f142a6144565</t>
  </si>
  <si>
    <t>https://minedex.dmirs.wa.gov.au/Web/sites/details/da18445a-79a5-48ec-ab75-f904da89ffe2</t>
  </si>
  <si>
    <t>https://minedex.dmirs.wa.gov.au/Web/sites/group-details/f811400c-a3ab-47b4-89ae-e810ff736134</t>
  </si>
  <si>
    <t>https://minedex.dmirs.wa.gov.au/Web/sites/details/c4f15be1-f515-4a9c-8a08-af901a1f8f20</t>
  </si>
  <si>
    <t>https://minedex.dmirs.wa.gov.au/Web/sites/details/6f4cc4c5-ec43-4d7f-87f3-a704a5b02ccb</t>
  </si>
  <si>
    <t>https://minedex.dmirs.wa.gov.au/Web/sites/details/4f672cbe-9570-4381-9363-7412ff7c2bb3</t>
  </si>
  <si>
    <t>https://minedex.dmirs.wa.gov.au/Web/sites/details/60d3f46b-f002-4986-b817-890981b1ece0</t>
  </si>
  <si>
    <t>https://minedex.dmirs.wa.gov.au/Web/projects/details/15d56d41-8c44-41da-be09-9e15c5ee09f6</t>
  </si>
  <si>
    <t>https://minedex.dmirs.wa.gov.au/Web/resource-estimates/details/site/951805f3-e76b-af7a-a423-431abfef12d1</t>
  </si>
  <si>
    <t>https://minedex.dmirs.wa.gov.au/Web/projects/details/b07edb60-390e-44de-aa80-0a1f772ab7e7</t>
  </si>
  <si>
    <t>https://minedex.dmirs.wa.gov.au/Web/projects/details/4574a758-65ef-4de7-b0e9-8f33429cfc06</t>
  </si>
  <si>
    <t>https://minedex.dmirs.wa.gov.au/Web/resource-estimates/details/site/dc2b5a59-36e3-4395-8c4b-df6b334ffa00</t>
  </si>
  <si>
    <t>https://minedex.dmirs.wa.gov.au/Web/projects/details/78e96fea-2c7c-4192-bde7-bb614d362f27</t>
  </si>
  <si>
    <t>https://minedex.dmirs.wa.gov.au/Web/projects/details/f204f99d-83dd-4115-813f-5a270f994f45</t>
  </si>
  <si>
    <t>https://minedex.dmirs.wa.gov.au/Web/projects/details/ae681714-3508-490f-b770-0cc6864021c2</t>
  </si>
  <si>
    <t>https://minedex.dmirs.wa.gov.au/Web/projects/details/a5903260-60bc-42d2-8fc2-10aec8692a73</t>
  </si>
  <si>
    <t>https://minedex.dmirs.wa.gov.au/Web/projects/details/37d7561f-097b-4ebe-aa94-02a5358875a3</t>
  </si>
  <si>
    <t>https://minedex.dmirs.wa.gov.au/Web/projects/details/38b27c61-cb52-539e-7bf5-6ea5a88b5315</t>
  </si>
  <si>
    <t>https://minedex.dmirs.wa.gov.au/Web/projects/details/204cc9af-ed09-479e-9af7-5e4a046f2941</t>
  </si>
  <si>
    <t>https://minedex.dmirs.wa.gov.au/Web/owners/details/1abe5e0c-3aa3-4418-897e-06532803d6b4</t>
  </si>
  <si>
    <t>https://minedex.dmirs.wa.gov.au/Web/sites/details/f92b2ef4-e5c3-434f-83c7-9b0ed8222e0d</t>
  </si>
  <si>
    <t>https://minedex.dmirs.wa.gov.au/Web/projects/details/dfd4369e-fc92-47d7-8f52-e644a08f717d</t>
  </si>
  <si>
    <t>https://minedex.dmirs.wa.gov.au/Web/sites/details/525a7369-9b53-4f3d-8cb6-6008d75d1263</t>
  </si>
  <si>
    <t>https://minedex.dmirs.wa.gov.au/Web/sites/details/33251fcf-cb27-4e0a-92d5-e34cf11cddd8</t>
  </si>
  <si>
    <t>https://minedex.dmirs.wa.gov.au/Web/projects/details/d0506860-8f8f-7782-205a-92628dc5bb9f</t>
  </si>
  <si>
    <t xml:space="preserve">https://tempestminerals.com/yalgoo/ </t>
  </si>
  <si>
    <t>https://www.citic.com/uploadfile/2017/0525/20170525095412682.pdf</t>
  </si>
  <si>
    <t xml:space="preserve">https://minerals.sarig.sa.gov.au/MineralDepositDetails.aspx?DEPOSIT_NO=313&amp;ref=1 </t>
  </si>
  <si>
    <t>Chile</t>
  </si>
  <si>
    <t>Tempest Minerals LTD, Capricorn Metals Limited</t>
  </si>
  <si>
    <t>Remorse Target (Yalgoo)</t>
  </si>
  <si>
    <t>Iron ore 67.5% Fe DR pellet</t>
  </si>
  <si>
    <t>Iron ore spot blast furnace pellet premium 65% CFR China</t>
  </si>
  <si>
    <t>Iron ore spot blast furnace pellet 63% CFR China</t>
  </si>
  <si>
    <t>https://api.investi.com.au/api/announcements/mgt/1af6e7b4-894.pdf</t>
  </si>
  <si>
    <t>Mid West Green Iron</t>
  </si>
  <si>
    <t>Mid West Green Iron Pty Ltd (Athena Resources Limited, Fenix Resources, Warradage energy)</t>
  </si>
  <si>
    <t>https://warradarge.com.au/warradarge-to-collaborate-on-mid-west-green-iron-project</t>
  </si>
  <si>
    <t>https://wcsecure.weblink.com.au/pdf/AHN/03073122.pdf</t>
  </si>
  <si>
    <t xml:space="preserve">https://wcsecure.weblink.com.au/pdf/AHN/03073122.pdf </t>
  </si>
  <si>
    <t>Mid West Green Iron Pty Ltd (MWGI) is a joint venture between Athena Resources Limited, Fenix Resources, and Warradarge Energy. The partners aim to test an innovative technology at demonstration scale, with plans to expand capacity through a modular design. The first phase involves a single plant with a capacity of 40,000 tonnes/year, targeted for 2028. Over time, the project plans to scale up, reaching a total capacity of 240,000 tonnes/year. The project is currently at a very early stage of study and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</si>
</sst>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0.000"/>
    <numFmt numFmtId="166" formatCode="d\ mmmm\ yyyy"/>
    <numFmt numFmtId="167" formatCode="0.0000"/>
  </numFmts>
  <fonts count="25" x14ac:knownFonts="1">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b/>
      <sz val="11"/>
      <name val="Aptos Narrow"/>
      <family val="2"/>
      <scheme val="minor"/>
    </font>
    <font>
      <sz val="11"/>
      <name val="Aptos Narrow"/>
      <family val="2"/>
      <scheme val="minor"/>
    </font>
    <font>
      <sz val="8"/>
      <name val="Aptos Narrow"/>
      <family val="2"/>
      <scheme val="minor"/>
    </font>
    <font>
      <sz val="10"/>
      <color rgb="FF373737"/>
      <name val="Arial"/>
      <family val="2"/>
    </font>
    <font>
      <b/>
      <u/>
      <sz val="12"/>
      <color rgb="FF005CAF"/>
      <name val="Arial"/>
      <family val="2"/>
    </font>
    <font>
      <b/>
      <sz val="18"/>
      <color rgb="FF005CAF"/>
      <name val="Arial"/>
      <family val="2"/>
    </font>
    <font>
      <sz val="11"/>
      <name val="Arial"/>
      <family val="2"/>
    </font>
    <font>
      <b/>
      <sz val="11"/>
      <name val="Arial"/>
      <family val="2"/>
    </font>
    <font>
      <sz val="10"/>
      <color rgb="FF000000"/>
      <name val="Arial"/>
      <family val="2"/>
    </font>
    <font>
      <u/>
      <sz val="10"/>
      <color theme="10"/>
      <name val="Arial"/>
      <family val="2"/>
    </font>
    <font>
      <sz val="11"/>
      <name val="Aptos Narrow"/>
      <family val="2"/>
    </font>
    <font>
      <u/>
      <sz val="11"/>
      <name val="Aptos Narrow"/>
      <family val="2"/>
      <scheme val="minor"/>
    </font>
    <font>
      <sz val="11"/>
      <color rgb="FFFF0000"/>
      <name val="Arial"/>
      <family val="2"/>
    </font>
    <font>
      <i/>
      <sz val="11"/>
      <name val="Arial"/>
      <family val="2"/>
    </font>
    <font>
      <sz val="11"/>
      <color theme="1"/>
      <name val="Arial"/>
      <family val="2"/>
    </font>
    <font>
      <b/>
      <sz val="11"/>
      <color theme="1"/>
      <name val="Arial"/>
      <family val="2"/>
    </font>
    <font>
      <b/>
      <sz val="18"/>
      <name val="Arial"/>
      <family val="2"/>
    </font>
    <font>
      <b/>
      <sz val="14"/>
      <color theme="1"/>
      <name val="Aptos Narrow"/>
      <family val="2"/>
      <scheme val="minor"/>
    </font>
    <font>
      <b/>
      <sz val="16"/>
      <color theme="1"/>
      <name val="Aptos Narrow"/>
      <family val="2"/>
      <scheme val="minor"/>
    </font>
    <font>
      <sz val="10"/>
      <color theme="1"/>
      <name val="Arial"/>
      <family val="2"/>
    </font>
    <font>
      <b/>
      <sz val="11"/>
      <color rgb="FF444444"/>
      <name val="Segoe UI"/>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B5394"/>
      </patternFill>
    </fill>
    <fill>
      <patternFill patternType="solid">
        <fgColor theme="0"/>
        <bgColor theme="0"/>
      </patternFill>
    </fill>
    <fill>
      <patternFill patternType="solid">
        <fgColor theme="0"/>
        <bgColor rgb="FFD0E0E3"/>
      </patternFill>
    </fill>
    <fill>
      <patternFill patternType="solid">
        <fgColor rgb="FF00B050"/>
        <bgColor theme="0"/>
      </patternFill>
    </fill>
    <fill>
      <patternFill patternType="solid">
        <fgColor rgb="FF00B050"/>
        <bgColor indexed="64"/>
      </patternFill>
    </fill>
    <fill>
      <patternFill patternType="solid">
        <fgColor rgb="FF00B050"/>
        <bgColor rgb="FF0B5394"/>
      </patternFill>
    </fill>
    <fill>
      <patternFill patternType="solid">
        <fgColor theme="9" tint="0.39997558519241921"/>
        <bgColor indexed="64"/>
      </patternFill>
    </fill>
    <fill>
      <patternFill patternType="solid">
        <fgColor theme="0" tint="-0.14999847407452621"/>
        <bgColor indexed="64"/>
      </patternFill>
    </fill>
  </fills>
  <borders count="14">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top style="double">
        <color auto="1"/>
      </top>
      <bottom/>
      <diagonal/>
    </border>
    <border>
      <left/>
      <right style="double">
        <color auto="1"/>
      </right>
      <top/>
      <bottom style="thin">
        <color auto="1"/>
      </bottom>
      <diagonal/>
    </border>
  </borders>
  <cellStyleXfs count="10">
    <xf numFmtId="0" fontId="0" fillId="0" borderId="0"/>
    <xf numFmtId="0" fontId="3" fillId="0" borderId="0" applyNumberFormat="0" applyFill="0" applyBorder="0" applyAlignment="0" applyProtection="0"/>
    <xf numFmtId="0" fontId="2" fillId="0" borderId="0"/>
    <xf numFmtId="9" fontId="2" fillId="0" borderId="0" applyFont="0" applyFill="0" applyBorder="0" applyAlignment="0" applyProtection="0"/>
    <xf numFmtId="0" fontId="7" fillId="0" borderId="0"/>
    <xf numFmtId="0" fontId="8" fillId="0" borderId="0" applyNumberFormat="0" applyFill="0" applyBorder="0" applyAlignment="0" applyProtection="0"/>
    <xf numFmtId="0" fontId="9" fillId="0" borderId="0" applyNumberFormat="0" applyFill="0" applyAlignment="0" applyProtection="0"/>
    <xf numFmtId="0" fontId="12" fillId="0" borderId="0"/>
    <xf numFmtId="0" fontId="13" fillId="0" borderId="0" applyNumberFormat="0" applyFill="0" applyBorder="0" applyAlignment="0" applyProtection="0"/>
    <xf numFmtId="0" fontId="14" fillId="0" borderId="0"/>
  </cellStyleXfs>
  <cellXfs count="120">
    <xf numFmtId="0" fontId="0" fillId="0" borderId="0" xfId="0"/>
    <xf numFmtId="0" fontId="3" fillId="0" borderId="0" xfId="1"/>
    <xf numFmtId="0" fontId="0" fillId="0" borderId="0" xfId="0" applyAlignment="1">
      <alignment horizontal="left"/>
    </xf>
    <xf numFmtId="0" fontId="1" fillId="3" borderId="0" xfId="0" applyFont="1" applyFill="1" applyAlignment="1">
      <alignment horizontal="left"/>
    </xf>
    <xf numFmtId="0" fontId="5" fillId="0" borderId="0" xfId="0" applyFont="1" applyAlignment="1">
      <alignment horizontal="left"/>
    </xf>
    <xf numFmtId="0" fontId="3" fillId="0" borderId="0" xfId="1" applyFill="1"/>
    <xf numFmtId="0" fontId="3" fillId="0" borderId="0" xfId="1" applyFill="1" applyAlignment="1">
      <alignment horizontal="left"/>
    </xf>
    <xf numFmtId="0" fontId="10" fillId="2" borderId="0" xfId="7" applyFont="1" applyFill="1"/>
    <xf numFmtId="0" fontId="10" fillId="4" borderId="0" xfId="7" applyFont="1" applyFill="1"/>
    <xf numFmtId="0" fontId="10" fillId="4" borderId="6" xfId="7" applyFont="1" applyFill="1" applyBorder="1"/>
    <xf numFmtId="0" fontId="10" fillId="4" borderId="7" xfId="7" applyFont="1" applyFill="1" applyBorder="1"/>
    <xf numFmtId="0" fontId="11" fillId="4" borderId="1" xfId="7" applyFont="1" applyFill="1" applyBorder="1"/>
    <xf numFmtId="0" fontId="10" fillId="4" borderId="2" xfId="7" applyFont="1" applyFill="1" applyBorder="1"/>
    <xf numFmtId="0" fontId="11" fillId="5" borderId="1" xfId="7" applyFont="1" applyFill="1" applyBorder="1" applyAlignment="1">
      <alignment horizontal="left"/>
    </xf>
    <xf numFmtId="1" fontId="11" fillId="2" borderId="0" xfId="7" applyNumberFormat="1" applyFont="1" applyFill="1" applyAlignment="1">
      <alignment horizontal="left"/>
    </xf>
    <xf numFmtId="166" fontId="11" fillId="2" borderId="0" xfId="7" applyNumberFormat="1" applyFont="1" applyFill="1" applyAlignment="1">
      <alignment horizontal="left"/>
    </xf>
    <xf numFmtId="0" fontId="16" fillId="2" borderId="0" xfId="7" applyFont="1" applyFill="1"/>
    <xf numFmtId="0" fontId="10" fillId="2" borderId="2" xfId="7" applyFont="1" applyFill="1" applyBorder="1"/>
    <xf numFmtId="0" fontId="17" fillId="0" borderId="1" xfId="7" applyFont="1" applyBorder="1" applyAlignment="1">
      <alignment horizontal="left"/>
    </xf>
    <xf numFmtId="166" fontId="17" fillId="0" borderId="0" xfId="7" applyNumberFormat="1" applyFont="1" applyAlignment="1">
      <alignment horizontal="left"/>
    </xf>
    <xf numFmtId="0" fontId="11" fillId="7" borderId="1" xfId="7" applyFont="1" applyFill="1" applyBorder="1" applyAlignment="1">
      <alignment horizontal="left"/>
    </xf>
    <xf numFmtId="166" fontId="17" fillId="8" borderId="0" xfId="7" applyNumberFormat="1" applyFont="1" applyFill="1" applyAlignment="1">
      <alignment horizontal="left"/>
    </xf>
    <xf numFmtId="0" fontId="10" fillId="8" borderId="0" xfId="7" applyFont="1" applyFill="1"/>
    <xf numFmtId="0" fontId="16" fillId="8" borderId="0" xfId="7" applyFont="1" applyFill="1"/>
    <xf numFmtId="0" fontId="10" fillId="8" borderId="2" xfId="7" applyFont="1" applyFill="1" applyBorder="1"/>
    <xf numFmtId="0" fontId="11" fillId="9" borderId="0" xfId="7" applyFont="1" applyFill="1" applyAlignment="1">
      <alignment horizontal="center"/>
    </xf>
    <xf numFmtId="0" fontId="11" fillId="6" borderId="1" xfId="7" applyFont="1" applyFill="1" applyBorder="1" applyAlignment="1">
      <alignment horizontal="left" vertical="center"/>
    </xf>
    <xf numFmtId="0" fontId="11" fillId="6" borderId="0" xfId="7" applyFont="1" applyFill="1" applyAlignment="1">
      <alignment horizontal="left" vertical="center"/>
    </xf>
    <xf numFmtId="0" fontId="10" fillId="6" borderId="1" xfId="7" applyFont="1" applyFill="1" applyBorder="1" applyAlignment="1">
      <alignment horizontal="left"/>
    </xf>
    <xf numFmtId="0" fontId="10" fillId="6" borderId="0" xfId="7" applyFont="1" applyFill="1" applyAlignment="1">
      <alignment horizontal="left"/>
    </xf>
    <xf numFmtId="0" fontId="10" fillId="6" borderId="0" xfId="7" applyFont="1" applyFill="1" applyAlignment="1">
      <alignment horizontal="left" indent="5"/>
    </xf>
    <xf numFmtId="0" fontId="10" fillId="6" borderId="1" xfId="7" applyFont="1" applyFill="1" applyBorder="1" applyAlignment="1">
      <alignment horizontal="center"/>
    </xf>
    <xf numFmtId="0" fontId="10" fillId="2" borderId="1" xfId="7" applyFont="1" applyFill="1" applyBorder="1"/>
    <xf numFmtId="0" fontId="10" fillId="2" borderId="0" xfId="7" applyFont="1" applyFill="1" applyAlignment="1">
      <alignment vertical="center"/>
    </xf>
    <xf numFmtId="0" fontId="10" fillId="2" borderId="1" xfId="7" applyFont="1" applyFill="1" applyBorder="1" applyAlignment="1">
      <alignment horizontal="left" vertical="top"/>
    </xf>
    <xf numFmtId="0" fontId="10" fillId="2" borderId="0" xfId="7" applyFont="1" applyFill="1" applyAlignment="1">
      <alignment horizontal="left" vertical="top"/>
    </xf>
    <xf numFmtId="0" fontId="3" fillId="2" borderId="1" xfId="1" applyFill="1" applyBorder="1"/>
    <xf numFmtId="0" fontId="10" fillId="2" borderId="8" xfId="7" applyFont="1" applyFill="1" applyBorder="1"/>
    <xf numFmtId="0" fontId="10" fillId="2" borderId="4" xfId="7" applyFont="1" applyFill="1" applyBorder="1"/>
    <xf numFmtId="0" fontId="10" fillId="2" borderId="3" xfId="7" applyFont="1" applyFill="1" applyBorder="1"/>
    <xf numFmtId="0" fontId="18" fillId="0" borderId="1" xfId="0" applyFont="1" applyBorder="1" applyAlignment="1">
      <alignment horizontal="left" vertical="top"/>
    </xf>
    <xf numFmtId="0" fontId="10" fillId="0" borderId="0" xfId="7" applyFont="1" applyAlignment="1">
      <alignment horizontal="left" vertical="top"/>
    </xf>
    <xf numFmtId="0" fontId="10" fillId="0" borderId="0" xfId="7" applyFont="1"/>
    <xf numFmtId="0" fontId="0" fillId="0" borderId="1" xfId="0" applyBorder="1"/>
    <xf numFmtId="0" fontId="20" fillId="4" borderId="5" xfId="7" applyFont="1" applyFill="1" applyBorder="1"/>
    <xf numFmtId="0" fontId="11" fillId="10" borderId="1" xfId="7" applyFont="1" applyFill="1" applyBorder="1"/>
    <xf numFmtId="0" fontId="10" fillId="10" borderId="0" xfId="7" applyFont="1" applyFill="1"/>
    <xf numFmtId="0" fontId="10" fillId="10" borderId="2" xfId="7" applyFont="1" applyFill="1" applyBorder="1"/>
    <xf numFmtId="0" fontId="10" fillId="0" borderId="1" xfId="7" applyFont="1" applyBorder="1" applyAlignment="1">
      <alignment horizontal="left" vertical="center"/>
    </xf>
    <xf numFmtId="0" fontId="10" fillId="0" borderId="0" xfId="7" applyFont="1" applyAlignment="1">
      <alignment horizontal="left" vertical="center"/>
    </xf>
    <xf numFmtId="0" fontId="18" fillId="0" borderId="0" xfId="0" applyFont="1" applyAlignment="1">
      <alignment horizontal="left" vertical="center"/>
    </xf>
    <xf numFmtId="0" fontId="21" fillId="0" borderId="0" xfId="0" applyFont="1"/>
    <xf numFmtId="0" fontId="22" fillId="0" borderId="0" xfId="0" applyFont="1"/>
    <xf numFmtId="0" fontId="0" fillId="0" borderId="0" xfId="0" applyAlignment="1">
      <alignment horizontal="center" vertical="center"/>
    </xf>
    <xf numFmtId="0" fontId="0" fillId="11" borderId="0" xfId="0" applyFill="1"/>
    <xf numFmtId="0" fontId="0" fillId="11" borderId="0" xfId="0" applyFill="1" applyAlignment="1">
      <alignment horizontal="center" vertical="center"/>
    </xf>
    <xf numFmtId="0" fontId="0" fillId="11" borderId="0" xfId="0" applyFill="1" applyAlignment="1">
      <alignment horizontal="left" vertical="center"/>
    </xf>
    <xf numFmtId="165" fontId="0" fillId="11" borderId="0" xfId="0" applyNumberFormat="1" applyFill="1" applyAlignment="1">
      <alignment horizontal="center" vertical="center"/>
    </xf>
    <xf numFmtId="0" fontId="1" fillId="11" borderId="9" xfId="0" applyFont="1" applyFill="1" applyBorder="1"/>
    <xf numFmtId="0" fontId="1" fillId="11" borderId="9" xfId="0" applyFont="1" applyFill="1" applyBorder="1" applyAlignment="1">
      <alignment horizontal="center" vertical="center"/>
    </xf>
    <xf numFmtId="0" fontId="3" fillId="0" borderId="0" xfId="1" applyFill="1" applyAlignment="1">
      <alignment horizontal="center" vertical="center" wrapText="1"/>
    </xf>
    <xf numFmtId="0" fontId="1" fillId="11" borderId="10" xfId="0" applyFont="1" applyFill="1" applyBorder="1"/>
    <xf numFmtId="0" fontId="1" fillId="11" borderId="11" xfId="0" applyFont="1" applyFill="1" applyBorder="1"/>
    <xf numFmtId="0" fontId="0" fillId="11" borderId="12" xfId="0" applyFill="1" applyBorder="1"/>
    <xf numFmtId="0" fontId="0" fillId="11" borderId="12" xfId="0" applyFill="1" applyBorder="1" applyAlignment="1">
      <alignment horizontal="center" vertical="center"/>
    </xf>
    <xf numFmtId="0" fontId="0" fillId="11" borderId="4" xfId="0" applyFill="1" applyBorder="1"/>
    <xf numFmtId="0" fontId="1" fillId="11" borderId="13" xfId="0" applyFont="1" applyFill="1" applyBorder="1"/>
    <xf numFmtId="0" fontId="0" fillId="11" borderId="4" xfId="0" applyFill="1" applyBorder="1" applyAlignment="1">
      <alignment horizontal="center" vertical="center"/>
    </xf>
    <xf numFmtId="0" fontId="10" fillId="6" borderId="1" xfId="7" applyFont="1" applyFill="1" applyBorder="1" applyAlignment="1">
      <alignment wrapText="1"/>
    </xf>
    <xf numFmtId="0" fontId="10" fillId="6" borderId="0" xfId="7" applyFont="1" applyFill="1" applyAlignment="1">
      <alignment wrapText="1"/>
    </xf>
    <xf numFmtId="0" fontId="10" fillId="6" borderId="2" xfId="7" applyFont="1" applyFill="1" applyBorder="1" applyAlignment="1">
      <alignment wrapText="1"/>
    </xf>
    <xf numFmtId="0" fontId="3" fillId="0" borderId="1" xfId="1" applyFill="1" applyBorder="1"/>
    <xf numFmtId="0" fontId="10" fillId="0" borderId="2" xfId="7" applyFont="1" applyBorder="1"/>
    <xf numFmtId="0" fontId="10" fillId="6" borderId="1" xfId="7" applyFont="1" applyFill="1" applyBorder="1" applyAlignment="1">
      <alignment horizontal="left" vertical="center"/>
    </xf>
    <xf numFmtId="9" fontId="0" fillId="0" borderId="0" xfId="3" applyFont="1" applyFill="1"/>
    <xf numFmtId="0" fontId="18" fillId="0" borderId="0" xfId="0" applyFont="1" applyAlignment="1">
      <alignment horizontal="left" vertical="top"/>
    </xf>
    <xf numFmtId="0" fontId="1" fillId="0" borderId="0" xfId="0" applyFont="1"/>
    <xf numFmtId="165" fontId="0" fillId="0" borderId="0" xfId="0" applyNumberFormat="1"/>
    <xf numFmtId="1" fontId="0" fillId="0" borderId="0" xfId="0" applyNumberFormat="1"/>
    <xf numFmtId="0" fontId="5" fillId="0" borderId="0" xfId="0" applyFont="1"/>
    <xf numFmtId="165" fontId="5" fillId="0" borderId="0" xfId="0" applyNumberFormat="1" applyFont="1"/>
    <xf numFmtId="0" fontId="15" fillId="0" borderId="0" xfId="1" applyFont="1" applyFill="1"/>
    <xf numFmtId="0" fontId="0" fillId="0" borderId="0" xfId="0" quotePrefix="1"/>
    <xf numFmtId="164" fontId="0" fillId="0" borderId="0" xfId="0" applyNumberFormat="1"/>
    <xf numFmtId="0" fontId="0" fillId="0" borderId="0" xfId="0" applyAlignment="1">
      <alignment horizontal="left" wrapText="1"/>
    </xf>
    <xf numFmtId="0" fontId="24" fillId="0" borderId="0" xfId="0" applyFont="1"/>
    <xf numFmtId="0" fontId="1" fillId="0" borderId="0" xfId="0" applyFont="1" applyAlignment="1">
      <alignment horizontal="left"/>
    </xf>
    <xf numFmtId="0" fontId="4" fillId="0" borderId="0" xfId="0" applyFont="1" applyAlignment="1">
      <alignment horizontal="left"/>
    </xf>
    <xf numFmtId="165" fontId="5" fillId="0" borderId="0" xfId="0" applyNumberFormat="1" applyFont="1" applyAlignment="1">
      <alignment horizontal="left"/>
    </xf>
    <xf numFmtId="2" fontId="0" fillId="0" borderId="0" xfId="0" applyNumberFormat="1"/>
    <xf numFmtId="0" fontId="0" fillId="0" borderId="0" xfId="0" applyAlignment="1">
      <alignment vertical="center" wrapText="1"/>
    </xf>
    <xf numFmtId="0" fontId="0" fillId="0" borderId="0" xfId="0" applyAlignment="1">
      <alignment vertical="center"/>
    </xf>
    <xf numFmtId="0" fontId="0" fillId="0" borderId="0" xfId="0" applyAlignment="1">
      <alignment wrapText="1"/>
    </xf>
    <xf numFmtId="0" fontId="5" fillId="0" borderId="0" xfId="0" applyFont="1" applyAlignment="1">
      <alignment horizontal="left" wrapText="1"/>
    </xf>
    <xf numFmtId="1" fontId="3" fillId="0" borderId="0" xfId="1" applyNumberFormat="1" applyFill="1"/>
    <xf numFmtId="0" fontId="5" fillId="0" borderId="0" xfId="1" applyFont="1" applyFill="1" applyAlignment="1">
      <alignment horizontal="left" wrapText="1"/>
    </xf>
    <xf numFmtId="0" fontId="5" fillId="0" borderId="0" xfId="0" quotePrefix="1" applyFont="1"/>
    <xf numFmtId="1" fontId="5" fillId="0" borderId="0" xfId="0" applyNumberFormat="1" applyFont="1"/>
    <xf numFmtId="164" fontId="5" fillId="0" borderId="0" xfId="0" applyNumberFormat="1" applyFont="1"/>
    <xf numFmtId="0" fontId="0" fillId="0" borderId="0" xfId="0" applyAlignment="1">
      <alignment horizontal="left" vertical="center"/>
    </xf>
    <xf numFmtId="165" fontId="0" fillId="0" borderId="0" xfId="0" applyNumberFormat="1" applyAlignment="1">
      <alignment horizontal="left"/>
    </xf>
    <xf numFmtId="0" fontId="5" fillId="0" borderId="0" xfId="0" quotePrefix="1" applyFont="1" applyAlignment="1">
      <alignment horizontal="left"/>
    </xf>
    <xf numFmtId="9" fontId="0" fillId="0" borderId="0" xfId="3" applyFont="1" applyFill="1" applyAlignment="1">
      <alignment horizontal="left"/>
    </xf>
    <xf numFmtId="0" fontId="0" fillId="0" borderId="0" xfId="0" applyAlignment="1">
      <alignment vertical="top" wrapText="1"/>
    </xf>
    <xf numFmtId="0" fontId="0" fillId="0" borderId="0" xfId="0" applyAlignment="1">
      <alignment vertical="top"/>
    </xf>
    <xf numFmtId="164" fontId="5" fillId="0" borderId="0" xfId="0" applyNumberFormat="1" applyFont="1" applyAlignment="1">
      <alignment horizontal="left"/>
    </xf>
    <xf numFmtId="9" fontId="5" fillId="0" borderId="0" xfId="3" applyFont="1" applyFill="1" applyAlignment="1">
      <alignment horizontal="left"/>
    </xf>
    <xf numFmtId="167" fontId="0" fillId="0" borderId="0" xfId="0" applyNumberFormat="1" applyAlignment="1">
      <alignment horizontal="left"/>
    </xf>
    <xf numFmtId="164" fontId="3" fillId="0" borderId="0" xfId="1" applyNumberFormat="1" applyFill="1"/>
    <xf numFmtId="0" fontId="23" fillId="0" borderId="0" xfId="0" applyFont="1" applyAlignment="1">
      <alignment horizontal="left"/>
    </xf>
    <xf numFmtId="0" fontId="23" fillId="0" borderId="0" xfId="0" applyFont="1"/>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2" xfId="0" applyFont="1" applyBorder="1" applyAlignment="1">
      <alignment horizontal="left" vertical="center" wrapText="1"/>
    </xf>
    <xf numFmtId="0" fontId="10" fillId="0" borderId="1" xfId="7" applyFont="1" applyBorder="1" applyAlignment="1">
      <alignment horizontal="left" vertical="center" wrapText="1"/>
    </xf>
    <xf numFmtId="0" fontId="10" fillId="0" borderId="0" xfId="7" applyFont="1" applyAlignment="1">
      <alignment horizontal="left" vertical="center" wrapText="1"/>
    </xf>
    <xf numFmtId="0" fontId="10" fillId="0" borderId="2" xfId="7" applyFont="1" applyBorder="1" applyAlignment="1">
      <alignment horizontal="left" vertical="center" wrapText="1"/>
    </xf>
    <xf numFmtId="0" fontId="10" fillId="6" borderId="1" xfId="7" applyFont="1" applyFill="1" applyBorder="1" applyAlignment="1">
      <alignment horizontal="left" vertical="center" wrapText="1"/>
    </xf>
    <xf numFmtId="0" fontId="10" fillId="6" borderId="0" xfId="7" applyFont="1" applyFill="1" applyAlignment="1">
      <alignment horizontal="left" vertical="center" wrapText="1"/>
    </xf>
    <xf numFmtId="0" fontId="10" fillId="6" borderId="2" xfId="7" applyFont="1" applyFill="1" applyBorder="1" applyAlignment="1">
      <alignment horizontal="left" vertical="center" wrapText="1"/>
    </xf>
  </cellXfs>
  <cellStyles count="10">
    <cellStyle name="Heading 1 2" xfId="6" xr:uid="{B8784C3B-F68A-471F-982C-D9AEE1AC6FF7}"/>
    <cellStyle name="Hyperlink" xfId="1" builtinId="8"/>
    <cellStyle name="Hyperlink 2" xfId="5" xr:uid="{02F41C2F-7954-4C42-A4C9-BF2ED8355EFE}"/>
    <cellStyle name="Hyperlink 3" xfId="8" xr:uid="{A081F55C-28DB-4DF5-8A34-8F09CBB51894}"/>
    <cellStyle name="Normal" xfId="0" builtinId="0"/>
    <cellStyle name="Normal 2" xfId="2" xr:uid="{217C42C3-BD79-4D5B-A912-956993BE240D}"/>
    <cellStyle name="Normal 3" xfId="4" xr:uid="{0B80AC62-063B-498D-8B16-DCF8FEAB68DB}"/>
    <cellStyle name="Normal 4" xfId="7" xr:uid="{ACF9B8E5-9D6E-4AB8-B3CD-75003262FC07}"/>
    <cellStyle name="Normal 5" xfId="9" xr:uid="{56003F5A-ECE2-451B-A301-66FC45A1D150}"/>
    <cellStyle name="Percent" xfId="3"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EE806177-915E-44CE-9F80-15BAB12644D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952503</xdr:colOff>
      <xdr:row>53</xdr:row>
      <xdr:rowOff>190502</xdr:rowOff>
    </xdr:from>
    <xdr:to>
      <xdr:col>2</xdr:col>
      <xdr:colOff>1876428</xdr:colOff>
      <xdr:row>60</xdr:row>
      <xdr:rowOff>76202</xdr:rowOff>
    </xdr:to>
    <xdr:pic>
      <xdr:nvPicPr>
        <xdr:cNvPr id="3" name="Graphic 2" descr="Arrow: Straight with solid fill">
          <a:extLst>
            <a:ext uri="{FF2B5EF4-FFF2-40B4-BE49-F238E27FC236}">
              <a16:creationId xmlns:a16="http://schemas.microsoft.com/office/drawing/2014/main" id="{79817DB6-B3AB-8C8F-D9F2-8FB69C8C98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flipH="1">
          <a:off x="2657478" y="10934702"/>
          <a:ext cx="1266825" cy="923925"/>
        </a:xfrm>
        <a:prstGeom prst="rect">
          <a:avLst/>
        </a:prstGeom>
      </xdr:spPr>
    </xdr:pic>
    <xdr:clientData/>
  </xdr:twoCellAnchor>
  <xdr:twoCellAnchor editAs="oneCell">
    <xdr:from>
      <xdr:col>5</xdr:col>
      <xdr:colOff>466725</xdr:colOff>
      <xdr:row>44</xdr:row>
      <xdr:rowOff>28576</xdr:rowOff>
    </xdr:from>
    <xdr:to>
      <xdr:col>6</xdr:col>
      <xdr:colOff>438150</xdr:colOff>
      <xdr:row>51</xdr:row>
      <xdr:rowOff>57152</xdr:rowOff>
    </xdr:to>
    <xdr:pic>
      <xdr:nvPicPr>
        <xdr:cNvPr id="4" name="Graphic 3" descr="Arrow: Straight with solid fill">
          <a:extLst>
            <a:ext uri="{FF2B5EF4-FFF2-40B4-BE49-F238E27FC236}">
              <a16:creationId xmlns:a16="http://schemas.microsoft.com/office/drawing/2014/main" id="{CC0B88BF-E1B1-4A45-9262-745CCA051A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flipH="1">
          <a:off x="6429375" y="9048751"/>
          <a:ext cx="1438276" cy="923925"/>
        </a:xfrm>
        <a:prstGeom prst="rect">
          <a:avLst/>
        </a:prstGeom>
      </xdr:spPr>
    </xdr:pic>
    <xdr:clientData/>
  </xdr:twoCellAnchor>
  <xdr:twoCellAnchor editAs="oneCell">
    <xdr:from>
      <xdr:col>4</xdr:col>
      <xdr:colOff>552450</xdr:colOff>
      <xdr:row>1</xdr:row>
      <xdr:rowOff>54449</xdr:rowOff>
    </xdr:from>
    <xdr:to>
      <xdr:col>9</xdr:col>
      <xdr:colOff>876346</xdr:colOff>
      <xdr:row>5</xdr:row>
      <xdr:rowOff>74866</xdr:rowOff>
    </xdr:to>
    <xdr:pic>
      <xdr:nvPicPr>
        <xdr:cNvPr id="5" name="Picture 4">
          <a:extLst>
            <a:ext uri="{FF2B5EF4-FFF2-40B4-BE49-F238E27FC236}">
              <a16:creationId xmlns:a16="http://schemas.microsoft.com/office/drawing/2014/main" id="{42493C2C-DDD7-4583-9BE7-83FF2E99E1E5}"/>
            </a:ext>
          </a:extLst>
        </xdr:cNvPr>
        <xdr:cNvPicPr>
          <a:picLocks noChangeAspect="1"/>
        </xdr:cNvPicPr>
      </xdr:nvPicPr>
      <xdr:blipFill>
        <a:blip xmlns:r="http://schemas.openxmlformats.org/officeDocument/2006/relationships" r:embed="rId3"/>
        <a:stretch>
          <a:fillRect/>
        </a:stretch>
      </xdr:blipFill>
      <xdr:spPr>
        <a:xfrm>
          <a:off x="5629275" y="130649"/>
          <a:ext cx="5105446" cy="9157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hub/div/economicanalyticalservices/businessfunctions/publicationsmgmt/resourcesenergymajorprojects/docs/Major%20Projects%20workbook%202020%20(20%20Nov%202020%20PM%20UP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jor Projects"/>
      <sheetName val="New graphs"/>
      <sheetName val="2019 Projects removed from list"/>
      <sheetName val="2020 Projects removed from list"/>
      <sheetName val="Historical Data &amp; Charts"/>
      <sheetName val="Exchange rate conversion "/>
      <sheetName val="Exploration"/>
      <sheetName val="2019 committed project location"/>
      <sheetName val="2020 committed project location"/>
      <sheetName val="List"/>
      <sheetName val="Gov contacts"/>
      <sheetName val="Industry contacts"/>
      <sheetName val="Outlook"/>
    </sheetNames>
    <sheetDataSet>
      <sheetData sheetId="0"/>
      <sheetData sheetId="1"/>
      <sheetData sheetId="2"/>
      <sheetData sheetId="3"/>
      <sheetData sheetId="4"/>
      <sheetData sheetId="5"/>
      <sheetData sheetId="6"/>
      <sheetData sheetId="7"/>
      <sheetData sheetId="8"/>
      <sheetData sheetId="9"/>
      <sheetData sheetId="10">
        <row r="4">
          <cell r="H4" t="str">
            <v>Publicly_announced</v>
          </cell>
        </row>
        <row r="5">
          <cell r="H5" t="str">
            <v>Feasible</v>
          </cell>
        </row>
        <row r="6">
          <cell r="H6" t="str">
            <v>Committed</v>
          </cell>
        </row>
        <row r="7">
          <cell r="H7" t="str">
            <v>Completed</v>
          </cell>
        </row>
      </sheetData>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Soroush Basirat" id="{F3FF79BB-0087-4EB1-853E-BAE146B49CC2}" userId="Soroush Basirat" providerId="None"/>
  <person displayName="Soroush Basirat" id="{CDBF32D8-88B8-4730-B322-73C1F2F39838}" userId="96ded3ac2538b757" providerId="Windows Live"/>
  <person displayName="Soroush Basirat" id="{B810B5FE-EA40-4DAE-90D2-11375CCDF5BB}" userId="S::sbasirat@ieefa.org::242eab9f-6457-4d58-b10f-637d25f6956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N3" dT="2025-07-23T01:33:37.64" personId="{CDBF32D8-88B8-4730-B322-73C1F2F39838}" id="{BAEE1049-2DF0-4F92-BE14-0B614F3F4389}">
    <text>All figures converted to AUD</text>
  </threadedComment>
  <threadedComment ref="O8" dT="2026-01-07T03:07:55.77" personId="{B810B5FE-EA40-4DAE-90D2-11375CCDF5BB}" id="{2AAE0826-3D95-4B74-9515-ED792F03D198}">
    <text>https://wcsecure.weblink.com.au/pdf/HIO/03038544.pdf</text>
    <extLst>
      <x:ext xmlns:xltc2="http://schemas.microsoft.com/office/spreadsheetml/2020/threadedcomments2" uri="{F7C98A9C-CBB3-438F-8F68-D28B6AF4A901}">
        <xltc2:checksum>574515055</xltc2:checksum>
        <xltc2:hyperlink startIndex="0" length="52" url="https://wcsecure.weblink.com.au/pdf/HIO/03038544.pdf"/>
      </x:ext>
    </extLst>
  </threadedComment>
  <threadedComment ref="AR8" dT="2026-01-07T02:30:39.27" personId="{B810B5FE-EA40-4DAE-90D2-11375CCDF5BB}" id="{8B7006CD-00DB-4003-A690-01428BC0E5D0}">
    <text xml:space="preserve">C1 cost of $US 49.34 and CFR cost of $US 89.94 per dry metric tonne (dmt). </text>
  </threadedComment>
  <threadedComment ref="AI21" dT="2025-07-16T02:40:58.62" personId="{CDBF32D8-88B8-4730-B322-73C1F2F39838}" id="{E2C8676F-75FD-4520-AAFC-59DB7CAFBA51}">
    <text>15-32%</text>
  </threadedComment>
  <threadedComment ref="AH41" dT="2025-05-15T11:23:52.57" personId="{CDBF32D8-88B8-4730-B322-73C1F2F39838}" id="{9A34B11F-4682-48CB-A476-429667F9C224}">
    <text>P100</text>
  </threadedComment>
  <threadedComment ref="I65" dT="2025-06-18T01:49:26.26" personId="{CDBF32D8-88B8-4730-B322-73C1F2F39838}" id="{451D0056-EEF4-4766-9A45-4A9EF031E083}">
    <text>Tenement total resource estimated to be 224Mt @28.8 Fe, including 11.2Mt @41.97 Fe at Weednanna
https://announcements.asx.com.au/asxpdf/20191017/pdf/449l8bvj4vsq53.pdf</text>
    <extLst>
      <x:ext xmlns:xltc2="http://schemas.microsoft.com/office/spreadsheetml/2020/threadedcomments2" uri="{F7C98A9C-CBB3-438F-8F68-D28B6AF4A901}">
        <xltc2:checksum>152159976</xltc2:checksum>
        <xltc2:hyperlink startIndex="96" length="71" url="https://announcements.asx.com.au/asxpdf/20191017/pdf/449l8bvj4vsq53.pdf"/>
      </x:ext>
    </extLst>
  </threadedComment>
  <threadedComment ref="S71" dT="2026-03-03T01:57:18.18" personId="{F3FF79BB-0087-4EB1-853E-BAE146B49CC2}" id="{BC98A624-61C7-49E5-B886-4E68DE528F48}">
    <text>Following the ASX announcement of the updated resource estimate, the total Fe is 26% across both deposits (76 Mt). However, the detailed iron ore data has not yet been fully updated.</text>
  </threadedComment>
  <threadedComment ref="D84" dT="2025-05-22T00:28:20.14" personId="{B810B5FE-EA40-4DAE-90D2-11375CCDF5BB}" id="{F0BCEF30-1B18-49C6-8417-77A5FF637C9F}">
    <text>Updated based on 
https://www.resources.nsw.gov.au/sites/default/files/2023-02/revocation-of-suspension-notice-abterra-australia-pty-ltd.pdf</text>
    <extLst>
      <x:ext xmlns:xltc2="http://schemas.microsoft.com/office/spreadsheetml/2020/threadedcomments2" uri="{F7C98A9C-CBB3-438F-8F68-D28B6AF4A901}">
        <xltc2:checksum>2261702868</xltc2:checksum>
        <xltc2:hyperlink startIndex="18" length="122" url="https://www.resources.nsw.gov.au/sites/default/files/2023-02/revocation-of-suspension-notice-abterra-australia-pty-ltd.pdf"/>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AI6" dT="2026-01-28T03:08:00.13" personId="{F3FF79BB-0087-4EB1-853E-BAE146B49CC2}" id="{93976BE5-6475-4BA0-A38A-927F0D5EC207}">
    <text>Mass recovery to BF concentrate 25.46%
Mass recovery to DR concentrate 20.17</text>
  </threadedComment>
  <threadedComment ref="AT6" dT="2026-01-28T04:49:52.00" personId="{F3FF79BB-0087-4EB1-853E-BAE146B49CC2}" id="{86DFF03A-E668-4568-8A0E-88FB658C5729}">
    <text xml:space="preserve">BF Concentrate 16 Mtpa
DR Pellets 9 Mtpa </text>
  </threadedComment>
  <threadedComment ref="AS7" dT="2026-02-07T02:24:56.98" personId="{F3FF79BB-0087-4EB1-853E-BAE146B49CC2}" id="{70019843-4F2A-4540-B90A-2B3CDAA31F5B}">
    <text>Total All-in sustaining costs AISC</text>
  </threadedComment>
  <threadedComment ref="Z10" dT="2026-02-16T07:42:46.82" personId="{F3FF79BB-0087-4EB1-853E-BAE146B49CC2}" id="{C97F7BAB-AFDD-4DFB-81B6-A9D9D256DECC}">
    <text>Figures were copied from the resource statement for concentrate production.</text>
  </threadedComment>
  <threadedComment ref="AT11" dT="2026-02-16T07:41:13.14" personId="{F3FF79BB-0087-4EB1-853E-BAE146B49CC2}" id="{121150FB-1216-4C0E-BED8-427B9CADC02A}">
    <text>2.776Mt Iron ore concentrate. 2.637Mt pellet production</text>
  </threadedComment>
  <threadedComment ref="AP15" dT="2026-02-08T03:09:42.76" personId="{F3FF79BB-0087-4EB1-853E-BAE146B49CC2}" id="{90543FB8-46F9-42FB-856D-D2CC4CE3F541}">
    <text>DrR=9%</text>
  </threadedComment>
  <threadedComment ref="AS16" dT="2026-01-29T04:08:35.45" personId="{F3FF79BB-0087-4EB1-853E-BAE146B49CC2}" id="{60991580-6EFA-4AC2-9DAB-B67212BB85DB}">
    <text>USD to AUD: 0.78 
Pellet cost was also reported at CAD$ 64.14</text>
  </threadedComment>
  <threadedComment ref="AS25" dT="2026-01-28T00:54:40.85" personId="{F3FF79BB-0087-4EB1-853E-BAE146B49CC2}" id="{ECC935B6-B2CC-47F7-865D-F2F868AB354D}">
    <text>AISC cost</text>
  </threadedComment>
  <threadedComment ref="AT25" dT="2026-01-28T00:54:21.31" personId="{F3FF79BB-0087-4EB1-853E-BAE146B49CC2}" id="{0A85A0E6-D020-47E5-ABD6-EF2EC0812B77}">
    <text>Only about 20% of the nominal capacity is suitable for pellet feed.
https://wcsecure.weblink.com.au/pdf/GEN/02953348.pdf
2022 PFS report mentioned 28.4% for pellet feed.(Page 16)
https://minedocs.com/25/Baniaka-PFS-11162022.pdf</text>
    <extLst>
      <x:ext xmlns:xltc2="http://schemas.microsoft.com/office/spreadsheetml/2020/threadedcomments2" uri="{F7C98A9C-CBB3-438F-8F68-D28B6AF4A901}">
        <xltc2:checksum>2530864377</xltc2:checksum>
        <xltc2:hyperlink startIndex="68" length="52" url="https://wcsecure.weblink.com.au/pdf/GEN/02953348.pdf"/>
        <xltc2:hyperlink startIndex="180" length="48" url="https://minedocs.com/25/Baniaka-PFS-11162022.pdf"/>
      </x:ext>
    </extLst>
  </threadedComment>
  <threadedComment ref="AP28" dT="2026-02-02T02:52:23.34" personId="{F3FF79BB-0087-4EB1-853E-BAE146B49CC2}" id="{7C285682-5134-4396-99CF-B2C6CA42E2F5}">
    <text>Post Tax NPV(10%)</text>
  </threadedComment>
  <threadedComment ref="AQ28" dT="2026-02-02T02:52:01.31" personId="{F3FF79BB-0087-4EB1-853E-BAE146B49CC2}" id="{3A39C22F-D357-4FB7-8A43-ED86BDFC3A64}">
    <text>Post Tax IRR</text>
  </threadedComment>
  <threadedComment ref="E39" dT="2026-02-07T04:13:29.31" personId="{F3FF79BB-0087-4EB1-853E-BAE146B49CC2}" id="{7CBE931E-8E25-4C91-94AF-1909EDDD914D}">
    <text>The mount Wright pit location were used.</text>
  </threadedComment>
  <threadedComment ref="E40" dT="2026-02-07T01:53:21.00" personId="{F3FF79BB-0087-4EB1-853E-BAE146B49CC2}" id="{C48759C2-61D1-4AC2-A8C4-42C2F578D346}">
    <text xml:space="preserve">The Tofo pit location was used. </text>
  </threadedComment>
  <threadedComment ref="J40" dT="2026-02-04T03:45:50.29" personId="{F3FF79BB-0087-4EB1-853E-BAE146B49CC2}" id="{DE281E05-91C3-4E76-B965-A7109F259BBB}">
    <text xml:space="preserve">The sum of the details does not match the total. </text>
  </threadedComment>
  <threadedComment ref="N40" dT="2026-02-04T03:45:30.38" personId="{F3FF79BB-0087-4EB1-853E-BAE146B49CC2}" id="{D95F9E95-C698-4995-8FC6-B1F97345AA91}">
    <text xml:space="preserve">The sum of the details does not match the total. </text>
  </threadedComment>
  <threadedComment ref="E41" dT="2026-02-08T05:44:41.08" personId="{F3FF79BB-0087-4EB1-853E-BAE146B49CC2}" id="{A3B71A1C-EDCB-41AE-BEBE-D6018E7EB323}">
    <text>Kiruna mine location was used.</text>
  </threadedComment>
  <threadedComment ref="AN48" dT="2025-07-23T01:33:37.64" personId="{CDBF32D8-88B8-4730-B322-73C1F2F39838}" id="{B7B9BDAE-EE95-4C74-90D2-4143EE321CA7}">
    <text>All figures converted to AUD</text>
  </threadedComment>
  <threadedComment ref="P49" dT="2026-01-07T03:07:55.77" personId="{B810B5FE-EA40-4DAE-90D2-11375CCDF5BB}" id="{0607D34C-B890-4ECE-AAE8-874D63AAEA3E}">
    <text>https://wcsecure.weblink.com.au/pdf/HIO/03038544.pdf</text>
    <extLst>
      <x:ext xmlns:xltc2="http://schemas.microsoft.com/office/spreadsheetml/2020/threadedcomments2" uri="{F7C98A9C-CBB3-438F-8F68-D28B6AF4A901}">
        <xltc2:checksum>574515055</xltc2:checksum>
        <xltc2:hyperlink startIndex="0" length="52" url="https://wcsecure.weblink.com.au/pdf/HIO/03038544.pdf"/>
      </x:ext>
    </extLst>
  </threadedComment>
  <threadedComment ref="AR49" dT="2026-01-07T02:30:39.27" personId="{B810B5FE-EA40-4DAE-90D2-11375CCDF5BB}" id="{8D06BFD6-D436-4A4E-A74D-87FEC87700CF}">
    <text xml:space="preserve">C1 cost of $US 49.34 and CFR cost of $US 89.94 per dry metric tonne (dmt). </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wa.gov.au/organisation/department-of-mines-petroleum-and-exploration/types-of-approvals" TargetMode="External"/><Relationship Id="rId7" Type="http://schemas.openxmlformats.org/officeDocument/2006/relationships/printerSettings" Target="../printerSettings/printerSettings1.bin"/><Relationship Id="rId2" Type="http://schemas.openxmlformats.org/officeDocument/2006/relationships/hyperlink" Target="https://www.energymining.sa.gov.au/industry/minerals-and-mining" TargetMode="External"/><Relationship Id="rId1" Type="http://schemas.openxmlformats.org/officeDocument/2006/relationships/hyperlink" Target="mailto:sbasirat@ieefa.org" TargetMode="External"/><Relationship Id="rId6" Type="http://schemas.openxmlformats.org/officeDocument/2006/relationships/hyperlink" Target="https://www.mrt.tas.gov.au/" TargetMode="External"/><Relationship Id="rId5" Type="http://schemas.openxmlformats.org/officeDocument/2006/relationships/hyperlink" Target="https://www.resources.nsw.gov.au/resources-regulator" TargetMode="External"/><Relationship Id="rId4" Type="http://schemas.openxmlformats.org/officeDocument/2006/relationships/hyperlink" Target="https://www.qrc.org.au/advocacy/resources/approvals-process-and-flowchart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ironroadlimited.com.au/" TargetMode="External"/><Relationship Id="rId21" Type="http://schemas.openxmlformats.org/officeDocument/2006/relationships/hyperlink" Target="https://lincolnminerals.com.au/" TargetMode="External"/><Relationship Id="rId42" Type="http://schemas.openxmlformats.org/officeDocument/2006/relationships/hyperlink" Target="https://www.riotinto.com/en/news/stories/decarbonising-steel-making" TargetMode="External"/><Relationship Id="rId47" Type="http://schemas.openxmlformats.org/officeDocument/2006/relationships/hyperlink" Target="https://phiron.com.au/" TargetMode="External"/><Relationship Id="rId63" Type="http://schemas.openxmlformats.org/officeDocument/2006/relationships/hyperlink" Target="https://pgsjv.com.au/" TargetMode="External"/><Relationship Id="rId68" Type="http://schemas.openxmlformats.org/officeDocument/2006/relationships/hyperlink" Target="https://hawsons.com.au/hawsons-iron-project/" TargetMode="External"/><Relationship Id="rId84" Type="http://schemas.openxmlformats.org/officeDocument/2006/relationships/hyperlink" Target="https://grange.blob.core.windows.net/public/ce6fad1a-c025-47c1-96f9-55d9f18830cb.pdf" TargetMode="External"/><Relationship Id="rId89" Type="http://schemas.openxmlformats.org/officeDocument/2006/relationships/hyperlink" Target="https://www.afr.com/companies/mining/china-s-citic-blames-clive-palmer-as-it-slashes-wa-mine-production-20240215-p5f5as" TargetMode="External"/><Relationship Id="rId16" Type="http://schemas.openxmlformats.org/officeDocument/2006/relationships/hyperlink" Target="https://gfgalliancewhyalla.com/" TargetMode="External"/><Relationship Id="rId11" Type="http://schemas.openxmlformats.org/officeDocument/2006/relationships/hyperlink" Target="https://gfgalliancewhyalla.com/about-us/mining/" TargetMode="External"/><Relationship Id="rId32" Type="http://schemas.openxmlformats.org/officeDocument/2006/relationships/hyperlink" Target="https://saemc.com.au/wp-content/uploads/2022/12/Session-4-01-Geoff-Johnson-1.pdf" TargetMode="External"/><Relationship Id="rId37" Type="http://schemas.openxmlformats.org/officeDocument/2006/relationships/hyperlink" Target="https://www.bluescope.com/news/BlueScope-BHP-and-Rio-Tinto-select-WA-for-Australia-s-largest-ironmaking-ESF-pilot-plant" TargetMode="External"/><Relationship Id="rId53" Type="http://schemas.openxmlformats.org/officeDocument/2006/relationships/hyperlink" Target="https://www.greensteelwa.com.au/" TargetMode="External"/><Relationship Id="rId58" Type="http://schemas.openxmlformats.org/officeDocument/2006/relationships/hyperlink" Target="https://h2greensteel.com.au/greensteel-australia-places-1-6b-order-with-danieli-group-for-fabrication-of-next-generation-steel-mill/" TargetMode="External"/><Relationship Id="rId74" Type="http://schemas.openxmlformats.org/officeDocument/2006/relationships/hyperlink" Target="https://wcsecure.weblink.com.au/pdf/HIO/02949158.pdf" TargetMode="External"/><Relationship Id="rId79" Type="http://schemas.openxmlformats.org/officeDocument/2006/relationships/hyperlink" Target="https://www.fortescue.com/en/what-we-do/our-operations/iron-bridge" TargetMode="External"/><Relationship Id="rId102" Type="http://schemas.openxmlformats.org/officeDocument/2006/relationships/hyperlink" Target="https://wcsecure.weblink.com.au/pdf/AHN/03073122.pdf" TargetMode="External"/><Relationship Id="rId5" Type="http://schemas.openxmlformats.org/officeDocument/2006/relationships/hyperlink" Target="https://citicpacificmining.com/our-operation" TargetMode="External"/><Relationship Id="rId90" Type="http://schemas.openxmlformats.org/officeDocument/2006/relationships/hyperlink" Target="https://announcements.asx.com.au/asxpdf/20121018/pdf/429gqj1mh59044.pdf" TargetMode="External"/><Relationship Id="rId95" Type="http://schemas.openxmlformats.org/officeDocument/2006/relationships/hyperlink" Target="https://elementzero.green/technology/" TargetMode="External"/><Relationship Id="rId22" Type="http://schemas.openxmlformats.org/officeDocument/2006/relationships/hyperlink" Target="https://lincolnminerals.com.au/projects/green-iron-magnetite-project/" TargetMode="External"/><Relationship Id="rId27" Type="http://schemas.openxmlformats.org/officeDocument/2006/relationships/hyperlink" Target="https://www.ironroadlimited.com.au/index.php/central-eyre-iron-project" TargetMode="External"/><Relationship Id="rId43" Type="http://schemas.openxmlformats.org/officeDocument/2006/relationships/hyperlink" Target="https://www.riotinto.com/en/news/releases/2022/rio-tintos-bioiron-proves-successful-for-low-carbon-iron-making" TargetMode="External"/><Relationship Id="rId48" Type="http://schemas.openxmlformats.org/officeDocument/2006/relationships/hyperlink" Target="https://phiron.com.au/" TargetMode="External"/><Relationship Id="rId64" Type="http://schemas.openxmlformats.org/officeDocument/2006/relationships/hyperlink" Target="https://calix.global/news/calix-executes-44-9m-arena-grant-zesty-green-iron-demonstration-plant/" TargetMode="External"/><Relationship Id="rId69" Type="http://schemas.openxmlformats.org/officeDocument/2006/relationships/hyperlink" Target="https://announcements.asx.com.au/asxpdf/20220321/pdf/45767f9j59nd4m.pdf" TargetMode="External"/><Relationship Id="rId80" Type="http://schemas.openxmlformats.org/officeDocument/2006/relationships/hyperlink" Target="https://dme.nt.gov.au/news/2025/maiden-magnetite-shipment-leaves-nt-bound-for-asia" TargetMode="External"/><Relationship Id="rId85" Type="http://schemas.openxmlformats.org/officeDocument/2006/relationships/hyperlink" Target="https://grange.blob.core.windows.net/public/ce6fad1a-c025-47c1-96f9-55d9f18830cb.pdf" TargetMode="External"/><Relationship Id="rId12" Type="http://schemas.openxmlformats.org/officeDocument/2006/relationships/hyperlink" Target="https://www.grangeresources.com.au/" TargetMode="External"/><Relationship Id="rId17" Type="http://schemas.openxmlformats.org/officeDocument/2006/relationships/hyperlink" Target="https://gfgalliancewhyalla.com/about-us/" TargetMode="External"/><Relationship Id="rId25" Type="http://schemas.openxmlformats.org/officeDocument/2006/relationships/hyperlink" Target="https://wcsecure.weblink.com.au/pdf/LML/02859106.pdf" TargetMode="External"/><Relationship Id="rId33" Type="http://schemas.openxmlformats.org/officeDocument/2006/relationships/hyperlink" Target="https://calix.global/" TargetMode="External"/><Relationship Id="rId38" Type="http://schemas.openxmlformats.org/officeDocument/2006/relationships/hyperlink" Target="https://www.bhp.com/news/media-centre/releases/2025/06/neosmelt-welcomes-federal-government-support-and-signs-two-new-participants" TargetMode="External"/><Relationship Id="rId46" Type="http://schemas.openxmlformats.org/officeDocument/2006/relationships/hyperlink" Target="https://phiron.com.au/" TargetMode="External"/><Relationship Id="rId59" Type="http://schemas.openxmlformats.org/officeDocument/2006/relationships/hyperlink" Target="https://h2greensteel.com.au/greensteel-australia-places-1-6b-order-with-danieli-group-for-fabrication-of-next-generation-steel-mill/" TargetMode="External"/><Relationship Id="rId67" Type="http://schemas.openxmlformats.org/officeDocument/2006/relationships/hyperlink" Target="https://hawsons.com.au/" TargetMode="External"/><Relationship Id="rId103" Type="http://schemas.openxmlformats.org/officeDocument/2006/relationships/hyperlink" Target="https://athenaresources.com.au/" TargetMode="External"/><Relationship Id="rId20" Type="http://schemas.openxmlformats.org/officeDocument/2006/relationships/hyperlink" Target="https://announcements.asx.com.au/asxpdf/20210705/pdf/44y0fwc23vzhn0.pdf" TargetMode="External"/><Relationship Id="rId41" Type="http://schemas.openxmlformats.org/officeDocument/2006/relationships/hyperlink" Target="https://www.riotinto.com/en/news/releases/2024/rio-tinto-to-develop-bioiron-rd-facility-in-western-australia-to-test-low-carbon-steelmaking" TargetMode="External"/><Relationship Id="rId54" Type="http://schemas.openxmlformats.org/officeDocument/2006/relationships/hyperlink" Target="https://www.greensteelwa.com.au/about-us/" TargetMode="External"/><Relationship Id="rId62" Type="http://schemas.openxmlformats.org/officeDocument/2006/relationships/hyperlink" Target="https://pgsjv.com.au/" TargetMode="External"/><Relationship Id="rId70" Type="http://schemas.openxmlformats.org/officeDocument/2006/relationships/hyperlink" Target="https://athenaresources.com.au/" TargetMode="External"/><Relationship Id="rId75" Type="http://schemas.openxmlformats.org/officeDocument/2006/relationships/hyperlink" Target="https://announcements.asx.com.au/asxpdf/20220321/pdf/45767f9j59nd4m.pdf" TargetMode="External"/><Relationship Id="rId83" Type="http://schemas.openxmlformats.org/officeDocument/2006/relationships/hyperlink" Target="https://gfgalliancewhyalla.com/wp-content/uploads/sites/4/2024/02/SIMEC-Mining-Magnetite-Expansion-Project-2-Project-Introduction-April-2022.pdf" TargetMode="External"/><Relationship Id="rId88" Type="http://schemas.openxmlformats.org/officeDocument/2006/relationships/hyperlink" Target="https://cdn.fortescue.com/docs/default-source/announcements-and-reports/2547020.pdf" TargetMode="External"/><Relationship Id="rId91" Type="http://schemas.openxmlformats.org/officeDocument/2006/relationships/hyperlink" Target="https://macarthurminerals.com/" TargetMode="External"/><Relationship Id="rId96" Type="http://schemas.openxmlformats.org/officeDocument/2006/relationships/hyperlink" Target="https://www.riotinto.com/en/news/releases/2025/rio-tinto-partners-with-calix-to-test-low-emissions-steel-making-in-western-australia-pauses-bioiron" TargetMode="External"/><Relationship Id="rId1" Type="http://schemas.openxmlformats.org/officeDocument/2006/relationships/hyperlink" Target="https://www.northern-iron.com.au/projects" TargetMode="External"/><Relationship Id="rId6" Type="http://schemas.openxmlformats.org/officeDocument/2006/relationships/hyperlink" Target="https://www.fortescue.com/en" TargetMode="External"/><Relationship Id="rId15" Type="http://schemas.openxmlformats.org/officeDocument/2006/relationships/hyperlink" Target="https://www.grangeresources.com.au/" TargetMode="External"/><Relationship Id="rId23" Type="http://schemas.openxmlformats.org/officeDocument/2006/relationships/hyperlink" Target="https://wcsecure.weblink.com.au/pdf/LML/02965298.pdf" TargetMode="External"/><Relationship Id="rId28" Type="http://schemas.openxmlformats.org/officeDocument/2006/relationships/hyperlink" Target="https://www.ironroadlimited.com.au/index.php/central-eyre-iron-project/definitive-feasibility" TargetMode="External"/><Relationship Id="rId36" Type="http://schemas.openxmlformats.org/officeDocument/2006/relationships/hyperlink" Target="https://www.bluescope.com/news/BlueScope-BHP-and-Rio-Tinto-select-WA-for-Australia-s-largest-ironmaking-ESF-pilot-plant" TargetMode="External"/><Relationship Id="rId49" Type="http://schemas.openxmlformats.org/officeDocument/2006/relationships/hyperlink" Target="https://phiron.com.au/" TargetMode="External"/><Relationship Id="rId57" Type="http://schemas.openxmlformats.org/officeDocument/2006/relationships/hyperlink" Target="https://h2greensteel.com.au/portfolio/green-iron/" TargetMode="External"/><Relationship Id="rId10" Type="http://schemas.openxmlformats.org/officeDocument/2006/relationships/hyperlink" Target="https://www.kararamining.com.au/processing/" TargetMode="External"/><Relationship Id="rId31" Type="http://schemas.openxmlformats.org/officeDocument/2006/relationships/hyperlink" Target="https://gfgalliancewhyalla.com/wp-content/uploads/sites/4/2025/02/Middleback-Range-News-February-2025-2.pdf" TargetMode="External"/><Relationship Id="rId44" Type="http://schemas.openxmlformats.org/officeDocument/2006/relationships/hyperlink" Target="https://phiron.com.au/" TargetMode="External"/><Relationship Id="rId52" Type="http://schemas.openxmlformats.org/officeDocument/2006/relationships/hyperlink" Target="https://gfgalliancewhyalla.com/" TargetMode="External"/><Relationship Id="rId60" Type="http://schemas.openxmlformats.org/officeDocument/2006/relationships/hyperlink" Target="https://pgsjv.com.au/projects/" TargetMode="External"/><Relationship Id="rId65" Type="http://schemas.openxmlformats.org/officeDocument/2006/relationships/hyperlink" Target="https://www.fortescue.com/en/articles/fortescue-starts-works-on-green-metal-project" TargetMode="External"/><Relationship Id="rId73" Type="http://schemas.openxmlformats.org/officeDocument/2006/relationships/hyperlink" Target="https://clients2.weblink.com.au/news/pdf_1%5C02967070.pdf" TargetMode="External"/><Relationship Id="rId78" Type="http://schemas.openxmlformats.org/officeDocument/2006/relationships/hyperlink" Target="https://www.fortescue.com/en/articles/fortescue-starts-works-on-green-metal-project" TargetMode="External"/><Relationship Id="rId81" Type="http://schemas.openxmlformats.org/officeDocument/2006/relationships/hyperlink" Target="https://www.wa.gov.au/government/media-statements/Barnett%20Liberal%20National%20Government/Pilbara-welcomes-WA%27s-biggest-magnetite-iron-ore-mine--20131202" TargetMode="External"/><Relationship Id="rId86" Type="http://schemas.openxmlformats.org/officeDocument/2006/relationships/hyperlink" Target="https://www.whyalla.sa.gov.au/our-city/about-us/history-1910-1940" TargetMode="External"/><Relationship Id="rId94" Type="http://schemas.openxmlformats.org/officeDocument/2006/relationships/hyperlink" Target="https://elementzero.green/" TargetMode="External"/><Relationship Id="rId99" Type="http://schemas.openxmlformats.org/officeDocument/2006/relationships/hyperlink" Target="https://jobs.terramining.com.au/locations/extension-hill-mine" TargetMode="External"/><Relationship Id="rId101" Type="http://schemas.openxmlformats.org/officeDocument/2006/relationships/hyperlink" Target="https://jobs.terramining.com.au/locations/extension-hill-mine" TargetMode="External"/><Relationship Id="rId4" Type="http://schemas.openxmlformats.org/officeDocument/2006/relationships/hyperlink" Target="https://arena.gov.au/assets/2024/05/Calix-Zesty-Tech-%E2%80%93-Zero-Emissions-Iron-and-Steel-study-and-final-reports.pdf" TargetMode="External"/><Relationship Id="rId9" Type="http://schemas.openxmlformats.org/officeDocument/2006/relationships/hyperlink" Target="https://www.kararamining.com.au/" TargetMode="External"/><Relationship Id="rId13" Type="http://schemas.openxmlformats.org/officeDocument/2006/relationships/hyperlink" Target="https://www.grangeresources.com.au/" TargetMode="External"/><Relationship Id="rId18" Type="http://schemas.openxmlformats.org/officeDocument/2006/relationships/hyperlink" Target="https://www.magnetitemines.com/" TargetMode="External"/><Relationship Id="rId39" Type="http://schemas.openxmlformats.org/officeDocument/2006/relationships/hyperlink" Target="https://www.riotinto.com/" TargetMode="External"/><Relationship Id="rId34" Type="http://schemas.openxmlformats.org/officeDocument/2006/relationships/hyperlink" Target="https://www.fortescue.com/en" TargetMode="External"/><Relationship Id="rId50" Type="http://schemas.openxmlformats.org/officeDocument/2006/relationships/hyperlink" Target="https://gfgalliancewhyalla.com/stories/liberty-steel-in-whyalla-announces-the-phase-out-of-coal-based-steelmaking-with-purchase-of-a-low-carbon-emissions-electric-arc-furnace/" TargetMode="External"/><Relationship Id="rId55" Type="http://schemas.openxmlformats.org/officeDocument/2006/relationships/hyperlink" Target="https://www.greensteelwa.com.au/about-us/" TargetMode="External"/><Relationship Id="rId76" Type="http://schemas.openxmlformats.org/officeDocument/2006/relationships/hyperlink" Target="https://macarthurminerals.com/wp-content/uploads/2025/08/Quarterly-Activities-Report-period-ended-30-June-2025.pdf" TargetMode="External"/><Relationship Id="rId97" Type="http://schemas.openxmlformats.org/officeDocument/2006/relationships/hyperlink" Target="https://calix.global/news/calix-executes-joint-development-agreement-with-rio-tinto-to-provide-over-35m-of-value-for-zesty-green-iron-demonstration-plant/" TargetMode="External"/><Relationship Id="rId7" Type="http://schemas.openxmlformats.org/officeDocument/2006/relationships/hyperlink" Target="https://citicpacificmining.com/our-operation" TargetMode="External"/><Relationship Id="rId71" Type="http://schemas.openxmlformats.org/officeDocument/2006/relationships/hyperlink" Target="https://athenaresources.com.au/byro-industrial-metals/" TargetMode="External"/><Relationship Id="rId92" Type="http://schemas.openxmlformats.org/officeDocument/2006/relationships/hyperlink" Target="https://gfgalliancewhyalla.com/about-us/mining/" TargetMode="External"/><Relationship Id="rId2" Type="http://schemas.openxmlformats.org/officeDocument/2006/relationships/hyperlink" Target="https://dme.nt.gov.au/news/2025/maiden-magnetite-shipment-leaves-nt-bound-for-asia" TargetMode="External"/><Relationship Id="rId29" Type="http://schemas.openxmlformats.org/officeDocument/2006/relationships/hyperlink" Target="https://wcsecure.weblink.com.au/pdf/IRD/02079052.pdf" TargetMode="External"/><Relationship Id="rId24" Type="http://schemas.openxmlformats.org/officeDocument/2006/relationships/hyperlink" Target="https://wcsecure.weblink.com.au/pdf/LML/02859106.pdf" TargetMode="External"/><Relationship Id="rId40" Type="http://schemas.openxmlformats.org/officeDocument/2006/relationships/hyperlink" Target="https://www.riotinto.com/en/news/releases/2024/rio-tinto-to-develop-bioiron-rd-facility-in-western-australia-to-test-low-carbon-steelmaking" TargetMode="External"/><Relationship Id="rId45" Type="http://schemas.openxmlformats.org/officeDocument/2006/relationships/hyperlink" Target="https://phiron.com.au/" TargetMode="External"/><Relationship Id="rId66" Type="http://schemas.openxmlformats.org/officeDocument/2006/relationships/hyperlink" Target="https://macarthurminerals.com/" TargetMode="External"/><Relationship Id="rId87" Type="http://schemas.openxmlformats.org/officeDocument/2006/relationships/hyperlink" Target="https://cdn.fortescue.com/docs/default-source/announcements-and-reports/2547020.pdf" TargetMode="External"/><Relationship Id="rId61" Type="http://schemas.openxmlformats.org/officeDocument/2006/relationships/hyperlink" Target="https://pgsjv.com.au/projects/" TargetMode="External"/><Relationship Id="rId82" Type="http://schemas.openxmlformats.org/officeDocument/2006/relationships/hyperlink" Target="https://www.kararamining.com.au/our-history/" TargetMode="External"/><Relationship Id="rId19" Type="http://schemas.openxmlformats.org/officeDocument/2006/relationships/hyperlink" Target="https://www.magnetitemines.com/razorback-iron-ore-project" TargetMode="External"/><Relationship Id="rId14" Type="http://schemas.openxmlformats.org/officeDocument/2006/relationships/hyperlink" Target="https://www.grangeresources.com.au/" TargetMode="External"/><Relationship Id="rId30" Type="http://schemas.openxmlformats.org/officeDocument/2006/relationships/hyperlink" Target="https://gfgalliancewhyalla.com/about-us/mining/" TargetMode="External"/><Relationship Id="rId35" Type="http://schemas.openxmlformats.org/officeDocument/2006/relationships/hyperlink" Target="https://arena.gov.au/projects/project-neosmelt/" TargetMode="External"/><Relationship Id="rId56" Type="http://schemas.openxmlformats.org/officeDocument/2006/relationships/hyperlink" Target="https://h2greensteel.com.au/" TargetMode="External"/><Relationship Id="rId77" Type="http://schemas.openxmlformats.org/officeDocument/2006/relationships/hyperlink" Target="https://www.fortescue.com/en/articles/fortescue-starts-works-on-green-metal-project" TargetMode="External"/><Relationship Id="rId100" Type="http://schemas.openxmlformats.org/officeDocument/2006/relationships/hyperlink" Target="https://terramining.com.au/2025/11/19/terra-mining-successfully-commissions-second-magnetic-separation-processing-plant-at-extension-hill/" TargetMode="External"/><Relationship Id="rId8" Type="http://schemas.openxmlformats.org/officeDocument/2006/relationships/hyperlink" Target="https://www.northern-iron.com.au/" TargetMode="External"/><Relationship Id="rId51" Type="http://schemas.openxmlformats.org/officeDocument/2006/relationships/hyperlink" Target="https://www.gfgalliance.com/" TargetMode="External"/><Relationship Id="rId72" Type="http://schemas.openxmlformats.org/officeDocument/2006/relationships/hyperlink" Target="https://athenaresources.com.au/wp-content/uploads/2024/05/Athena-Scoping-Study-May-2024-web8893-1.pdf" TargetMode="External"/><Relationship Id="rId93" Type="http://schemas.openxmlformats.org/officeDocument/2006/relationships/hyperlink" Target="https://wcsecure.weblink.com.au/pdf/HIO/03038544.pdf" TargetMode="External"/><Relationship Id="rId98" Type="http://schemas.openxmlformats.org/officeDocument/2006/relationships/hyperlink" Target="https://terramining.com.au/2025/11/19/terra-mining-successfully-commissions-second-magnetic-separation-processing-plant-at-extension-hill/" TargetMode="External"/><Relationship Id="rId3" Type="http://schemas.openxmlformats.org/officeDocument/2006/relationships/hyperlink" Target="https://calix.global/iron-stee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aspecthuntley.com.au/asxdata/20120518/pdf/01298580.pdf" TargetMode="External"/><Relationship Id="rId299" Type="http://schemas.openxmlformats.org/officeDocument/2006/relationships/hyperlink" Target="https://geodocs.dmirs.wa.gov.au/Web/documentlist/10/Report_Ref/A95459" TargetMode="External"/><Relationship Id="rId21" Type="http://schemas.openxmlformats.org/officeDocument/2006/relationships/hyperlink" Target="https://minedex.dmirs.wa.gov.au/Web/projects/details/440df72d-ee0c-4664-9d97-92d34fcec326" TargetMode="External"/><Relationship Id="rId63" Type="http://schemas.openxmlformats.org/officeDocument/2006/relationships/hyperlink" Target="https://minedex.dmirs.wa.gov.au/Web/projects/details/37d7561f-097b-4ebe-aa94-02a5358875a3" TargetMode="External"/><Relationship Id="rId159" Type="http://schemas.openxmlformats.org/officeDocument/2006/relationships/hyperlink" Target="https://www.aspecthuntley.com.au/asxdata/20110622/pdf/01191176.pdf" TargetMode="External"/><Relationship Id="rId324" Type="http://schemas.openxmlformats.org/officeDocument/2006/relationships/hyperlink" Target="https://announcements.asx.com.au/asxpdf/20111216/pdf/4239v45c02k79t.pdf" TargetMode="External"/><Relationship Id="rId366" Type="http://schemas.openxmlformats.org/officeDocument/2006/relationships/hyperlink" Target="https://minerals.sarig.sa.gov.au/MineralDepositDetails.aspx?DEPOSIT_NO=9610&amp;ref=1" TargetMode="External"/><Relationship Id="rId170" Type="http://schemas.openxmlformats.org/officeDocument/2006/relationships/hyperlink" Target="https://www.czrresources.com/projects/yarraloola/yarraloola-ashburton/" TargetMode="External"/><Relationship Id="rId226" Type="http://schemas.openxmlformats.org/officeDocument/2006/relationships/hyperlink" Target="https://announcements.asx.com.au/asxpdf/20150918/pdf/431f68b3p86hln.pdf" TargetMode="External"/><Relationship Id="rId433" Type="http://schemas.openxmlformats.org/officeDocument/2006/relationships/hyperlink" Target="https://cdn-api.markitdigital.com/apiman-gateway/ASX/asx-research/1.0/file/2924-02348361-6A1022608&amp;v=4a466cc3f899e00730cfbfcd5ab8940c41f474b6" TargetMode="External"/><Relationship Id="rId268" Type="http://schemas.openxmlformats.org/officeDocument/2006/relationships/hyperlink" Target="https://grange.blob.core.windows.net/public/4370fe56-65a1-400e-8f72-58ed89e6bb98.pdf" TargetMode="External"/><Relationship Id="rId475" Type="http://schemas.openxmlformats.org/officeDocument/2006/relationships/hyperlink" Target="https://sites.google.com/ieefa.org/no-link-available/home" TargetMode="External"/><Relationship Id="rId32" Type="http://schemas.openxmlformats.org/officeDocument/2006/relationships/hyperlink" Target="https://cashmereiron.com/project-information/history-of-deposit-exploration/" TargetMode="External"/><Relationship Id="rId74" Type="http://schemas.openxmlformats.org/officeDocument/2006/relationships/hyperlink" Target="https://www.listcorp.com/asx/ahn/athena-resources-limited/news/scoping-study-byro-fe1-magnetite-project-3033683.html" TargetMode="External"/><Relationship Id="rId128" Type="http://schemas.openxmlformats.org/officeDocument/2006/relationships/hyperlink" Target="https://minedex.dmirs.wa.gov.au/Web/sites/details/073a114a-f223-4893-9aec-a7b15c1cef7c" TargetMode="External"/><Relationship Id="rId335" Type="http://schemas.openxmlformats.org/officeDocument/2006/relationships/hyperlink" Target="https://www.marketindex.com.au/asx/ida/announcements/mt-woods-magnetite-project-snaefell-concept-study-completed-XX601429" TargetMode="External"/><Relationship Id="rId377" Type="http://schemas.openxmlformats.org/officeDocument/2006/relationships/hyperlink" Target="https://www.energymining.sa.gov.au/__data/assets/pdf_file/0006/1168548/20250307-Central-Iron-Pty-Lt~-Mining-lease-proposal-rev2.PDF" TargetMode="External"/><Relationship Id="rId500" Type="http://schemas.openxmlformats.org/officeDocument/2006/relationships/hyperlink" Target="https://sites.google.com/ieefa.org/no-link-available/home" TargetMode="External"/><Relationship Id="rId5" Type="http://schemas.openxmlformats.org/officeDocument/2006/relationships/hyperlink" Target="https://easternresources.com.au/wp-content/uploads/2024/09/EFE-Annual-Report-2024.pdf" TargetMode="External"/><Relationship Id="rId181" Type="http://schemas.openxmlformats.org/officeDocument/2006/relationships/hyperlink" Target="https://www.havilah-resources.com.au/" TargetMode="External"/><Relationship Id="rId237" Type="http://schemas.openxmlformats.org/officeDocument/2006/relationships/hyperlink" Target="https://www.grangeresources.com.au/" TargetMode="External"/><Relationship Id="rId402" Type="http://schemas.openxmlformats.org/officeDocument/2006/relationships/hyperlink" Target="https://wcsecure.weblink.com.au/pdf/ZNC/01644858.pdf" TargetMode="External"/><Relationship Id="rId279" Type="http://schemas.openxmlformats.org/officeDocument/2006/relationships/hyperlink" Target="https://www.annualreports.com/HostedData/AnnualReportArchive/c/ASX_SHH_2021.pdf" TargetMode="External"/><Relationship Id="rId444" Type="http://schemas.openxmlformats.org/officeDocument/2006/relationships/hyperlink" Target="https://mindax.com.au/projects/mt-forrest-project" TargetMode="External"/><Relationship Id="rId486" Type="http://schemas.openxmlformats.org/officeDocument/2006/relationships/hyperlink" Target="https://minedex.dmirs.wa.gov.au/Web/projects/details/d0506860-8f8f-7782-205a-92628dc5bb9f" TargetMode="External"/><Relationship Id="rId43" Type="http://schemas.openxmlformats.org/officeDocument/2006/relationships/hyperlink" Target="https://www.aspecthuntley.com.au/asxdata/20110228/pdf/01156152.pdf" TargetMode="External"/><Relationship Id="rId139" Type="http://schemas.openxmlformats.org/officeDocument/2006/relationships/hyperlink" Target="https://mineralogy.com.au/projects/balmoral-south/" TargetMode="External"/><Relationship Id="rId290" Type="http://schemas.openxmlformats.org/officeDocument/2006/relationships/hyperlink" Target="https://www.aspecthuntley.com.au/asxdata/20140729/pdf/01536981.pdf" TargetMode="External"/><Relationship Id="rId304" Type="http://schemas.openxmlformats.org/officeDocument/2006/relationships/hyperlink" Target="https://www.energymining.sa.gov.au/industry/geological-survey/gssa-projects/magnetite-south-australia" TargetMode="External"/><Relationship Id="rId346" Type="http://schemas.openxmlformats.org/officeDocument/2006/relationships/hyperlink" Target="https://www.energymining.sa.gov.au/industry/minerals-and-mining/mining/major-projects-and-mining-activities/major-operating-and-approved-mines/middleback-ranges" TargetMode="External"/><Relationship Id="rId388" Type="http://schemas.openxmlformats.org/officeDocument/2006/relationships/hyperlink" Target="https://wcsecure.weblink.com.au/pdf/LML/02859106.pdf" TargetMode="External"/><Relationship Id="rId85" Type="http://schemas.openxmlformats.org/officeDocument/2006/relationships/hyperlink" Target="https://karawara.com.au/wp-content/uploads/2025/06/Forward-Program-May-2025.pdf" TargetMode="External"/><Relationship Id="rId150" Type="http://schemas.openxmlformats.org/officeDocument/2006/relationships/hyperlink" Target="https://api.investi.com.au/api/announcements/mgt/d8765f08-e90.pdf" TargetMode="External"/><Relationship Id="rId192" Type="http://schemas.openxmlformats.org/officeDocument/2006/relationships/hyperlink" Target="https://athenaresources.com.au/" TargetMode="External"/><Relationship Id="rId206" Type="http://schemas.openxmlformats.org/officeDocument/2006/relationships/hyperlink" Target="https://lincolnminerals.com.au/" TargetMode="External"/><Relationship Id="rId413" Type="http://schemas.openxmlformats.org/officeDocument/2006/relationships/hyperlink" Target="https://www.marketindex.com.au/asx/wbt/announcements/maiden-353-mt-magnetite-jorc-resource-for-die-hardy-XX566777" TargetMode="External"/><Relationship Id="rId248" Type="http://schemas.openxmlformats.org/officeDocument/2006/relationships/hyperlink" Target="https://karawara.com.au/broula-magnetite-mine/" TargetMode="External"/><Relationship Id="rId455" Type="http://schemas.openxmlformats.org/officeDocument/2006/relationships/hyperlink" Target="https://sites.google.com/ieefa.org/no-link-available/home" TargetMode="External"/><Relationship Id="rId497" Type="http://schemas.openxmlformats.org/officeDocument/2006/relationships/hyperlink" Target="https://sites.google.com/ieefa.org/no-link-available/home" TargetMode="External"/><Relationship Id="rId12" Type="http://schemas.openxmlformats.org/officeDocument/2006/relationships/hyperlink" Target="https://geodocs.dmirs.wa.gov.au/Web/documentlist/10/Report_Ref/A95459" TargetMode="External"/><Relationship Id="rId108" Type="http://schemas.openxmlformats.org/officeDocument/2006/relationships/hyperlink" Target="https://www.marketindex.com.au/asx/ida/announcements/mt-woods-magnetite-project-snaefell-concept-study-completed-XX601429" TargetMode="External"/><Relationship Id="rId315" Type="http://schemas.openxmlformats.org/officeDocument/2006/relationships/hyperlink" Target="https://www.aspecthuntley.com.au/asxdata/20100216/pdf/01037712.pdf" TargetMode="External"/><Relationship Id="rId357" Type="http://schemas.openxmlformats.org/officeDocument/2006/relationships/hyperlink" Target="https://minerals.sarig.sa.gov.au/MineralDepositDetails.aspx?DEPOSIT_NO=8285&amp;ref=1" TargetMode="External"/><Relationship Id="rId54" Type="http://schemas.openxmlformats.org/officeDocument/2006/relationships/hyperlink" Target="https://minedex.dmirs.wa.gov.au/Web/resource-estimates/details/site/951805f3-e76b-af7a-a423-431abfef12d1" TargetMode="External"/><Relationship Id="rId96" Type="http://schemas.openxmlformats.org/officeDocument/2006/relationships/hyperlink" Target="https://wcsecure.weblink.com.au/pdf/LML/02787328.pdf" TargetMode="External"/><Relationship Id="rId161" Type="http://schemas.openxmlformats.org/officeDocument/2006/relationships/hyperlink" Target="https://cashmereiron.com/" TargetMode="External"/><Relationship Id="rId217" Type="http://schemas.openxmlformats.org/officeDocument/2006/relationships/hyperlink" Target="https://lincolnminerals.com.au/projects/green-iron-magnetite-project/" TargetMode="External"/><Relationship Id="rId399" Type="http://schemas.openxmlformats.org/officeDocument/2006/relationships/hyperlink" Target="https://www.epa.wa.gov.au/proposals/ridley-magnetite-project" TargetMode="External"/><Relationship Id="rId259" Type="http://schemas.openxmlformats.org/officeDocument/2006/relationships/hyperlink" Target="https://cdn.fortescue.com/docs/default-source/uncategorised/fy24-annual-report.pdf" TargetMode="External"/><Relationship Id="rId424" Type="http://schemas.openxmlformats.org/officeDocument/2006/relationships/hyperlink" Target="https://www.listcorp.com/asx/hio/hawsons-iron-limited/news/hawsons-drilling-program-and-resource-update-completed-3046964.html" TargetMode="External"/><Relationship Id="rId466" Type="http://schemas.openxmlformats.org/officeDocument/2006/relationships/hyperlink" Target="https://sites.google.com/ieefa.org/no-link-available/home" TargetMode="External"/><Relationship Id="rId23" Type="http://schemas.openxmlformats.org/officeDocument/2006/relationships/hyperlink" Target="https://minedex.dmirs.wa.gov.au/Web/sites/details/459787ec-01f8-49b0-b542-db4c4d3cff66" TargetMode="External"/><Relationship Id="rId119" Type="http://schemas.openxmlformats.org/officeDocument/2006/relationships/hyperlink" Target="https://www.aspecthuntley.com.au/asxdata/20140929/pdf/01556876.pdf" TargetMode="External"/><Relationship Id="rId270" Type="http://schemas.openxmlformats.org/officeDocument/2006/relationships/hyperlink" Target="https://grange.blob.core.windows.net/public/ce6fad1a-c025-47c1-96f9-55d9f18830cb.pdf" TargetMode="External"/><Relationship Id="rId326" Type="http://schemas.openxmlformats.org/officeDocument/2006/relationships/hyperlink" Target="https://vikingmines.com/canegrass-battery-minerals-project/" TargetMode="External"/><Relationship Id="rId65" Type="http://schemas.openxmlformats.org/officeDocument/2006/relationships/hyperlink" Target="https://app.sharelinktechnologies.com/announcement/asx/095fe49b5eb782bb000d365d5b93cd72" TargetMode="External"/><Relationship Id="rId130" Type="http://schemas.openxmlformats.org/officeDocument/2006/relationships/hyperlink" Target="https://mineralogy.com.au/projects/balmoral-south/" TargetMode="External"/><Relationship Id="rId368" Type="http://schemas.openxmlformats.org/officeDocument/2006/relationships/hyperlink" Target="https://minerals.sarig.sa.gov.au/MineralDepositDetails.aspx?DEPOSIT_NO=3003&amp;ref=1" TargetMode="External"/><Relationship Id="rId172" Type="http://schemas.openxmlformats.org/officeDocument/2006/relationships/hyperlink" Target="https://lodestoneiron.com.au/" TargetMode="External"/><Relationship Id="rId228" Type="http://schemas.openxmlformats.org/officeDocument/2006/relationships/hyperlink" Target="https://announcements.asx.com.au/asxpdf/20150918/pdf/431f68b3p86hln.pdf" TargetMode="External"/><Relationship Id="rId435" Type="http://schemas.openxmlformats.org/officeDocument/2006/relationships/hyperlink" Target="https://wcsecure.weblink.com.au/pdf/IRD/02884290.pdf" TargetMode="External"/><Relationship Id="rId477" Type="http://schemas.openxmlformats.org/officeDocument/2006/relationships/hyperlink" Target="https://sites.google.com/ieefa.org/no-link-available/home" TargetMode="External"/><Relationship Id="rId281" Type="http://schemas.openxmlformats.org/officeDocument/2006/relationships/hyperlink" Target="https://minedocs.com/28/Hawthorn-Resources-Ltd-MRE-07012024.pdf" TargetMode="External"/><Relationship Id="rId337" Type="http://schemas.openxmlformats.org/officeDocument/2006/relationships/hyperlink" Target="https://speedwaymagnetite.weebly.com/" TargetMode="External"/><Relationship Id="rId502" Type="http://schemas.openxmlformats.org/officeDocument/2006/relationships/hyperlink" Target="https://sites.google.com/ieefa.org/no-link-available/home" TargetMode="External"/><Relationship Id="rId34" Type="http://schemas.openxmlformats.org/officeDocument/2006/relationships/hyperlink" Target="https://minedex.dmirs.wa.gov.au/Web/projects/details/27236849-4c89-40ea-b8c2-c29220fcae3a" TargetMode="External"/><Relationship Id="rId76" Type="http://schemas.openxmlformats.org/officeDocument/2006/relationships/hyperlink" Target="https://minedex.dmirs.wa.gov.au/Web/sites/group-details/f811400c-a3ab-47b4-89ae-e810ff736134" TargetMode="External"/><Relationship Id="rId141" Type="http://schemas.openxmlformats.org/officeDocument/2006/relationships/hyperlink" Target="https://hawsons.com.au/hawsons-iron-project/" TargetMode="External"/><Relationship Id="rId379" Type="http://schemas.openxmlformats.org/officeDocument/2006/relationships/hyperlink" Target="https://announcements.asx.com.au/asxpdf/20071025/pdf/315bntb6zxqhz0.pdf" TargetMode="External"/><Relationship Id="rId7" Type="http://schemas.openxmlformats.org/officeDocument/2006/relationships/hyperlink" Target="https://announcements.asx.com.au/asxpdf/20121126/pdf/42bgzdm703yb4r.pdf" TargetMode="External"/><Relationship Id="rId183" Type="http://schemas.openxmlformats.org/officeDocument/2006/relationships/hyperlink" Target="https://announcements.asx.com.au/asxpdf/20110610/pdf/41z4w4lt6xc9r3.pdf" TargetMode="External"/><Relationship Id="rId239" Type="http://schemas.openxmlformats.org/officeDocument/2006/relationships/hyperlink" Target="https://fijv.au/" TargetMode="External"/><Relationship Id="rId390" Type="http://schemas.openxmlformats.org/officeDocument/2006/relationships/hyperlink" Target="https://announcements.asx.com.au/asxpdf/20220511/pdf/458x3lrqnq5kh6.pdf?utm" TargetMode="External"/><Relationship Id="rId404" Type="http://schemas.openxmlformats.org/officeDocument/2006/relationships/hyperlink" Target="https://sunmirror.net/projects/cape-lambert/" TargetMode="External"/><Relationship Id="rId446" Type="http://schemas.openxmlformats.org/officeDocument/2006/relationships/hyperlink" Target="https://mindax.com.au/upload/documents/investors/asx-announcements/20230929_6A1151719_MDXa.pdf" TargetMode="External"/><Relationship Id="rId250" Type="http://schemas.openxmlformats.org/officeDocument/2006/relationships/hyperlink" Target="https://minedex.dmirs.wa.gov.au/Web/projects/details/dfd4369e-fc92-47d7-8f52-e644a08f717d" TargetMode="External"/><Relationship Id="rId292" Type="http://schemas.openxmlformats.org/officeDocument/2006/relationships/hyperlink" Target="https://www.aspecthuntley.com.au/asxdata/20110228/pdf/01156152.pdf" TargetMode="External"/><Relationship Id="rId306" Type="http://schemas.openxmlformats.org/officeDocument/2006/relationships/hyperlink" Target="https://announcements.asx.com.au/asxpdf/20120525/pdf/426gp0l17x8p6l.pdf" TargetMode="External"/><Relationship Id="rId488" Type="http://schemas.openxmlformats.org/officeDocument/2006/relationships/hyperlink" Target="https://wcsecure.weblink.com.au/pdf/HIO/03038544.pdf" TargetMode="External"/><Relationship Id="rId45" Type="http://schemas.openxmlformats.org/officeDocument/2006/relationships/hyperlink" Target="https://www.lodestonemines.com/_files/ugd/22b2ca_5c2031f2e1204b5e8a6b05855fe3e0c9.pdf" TargetMode="External"/><Relationship Id="rId87" Type="http://schemas.openxmlformats.org/officeDocument/2006/relationships/hyperlink" Target="https://www.abc.net.au/news/2024-02-09/elmore-voluntary-administration-peko-mine-operator-tennant-creek/103445070" TargetMode="External"/><Relationship Id="rId110" Type="http://schemas.openxmlformats.org/officeDocument/2006/relationships/hyperlink" Target="https://www.annualreports.com/HostedData/AnnualReportArchive/c/ASX_SHH_2021.pdf" TargetMode="External"/><Relationship Id="rId348" Type="http://schemas.openxmlformats.org/officeDocument/2006/relationships/hyperlink" Target="https://minerals.sarig.sa.gov.au/MineralDepositDetails.aspx?DEPOSIT_NO=763&amp;ref=1" TargetMode="External"/><Relationship Id="rId152" Type="http://schemas.openxmlformats.org/officeDocument/2006/relationships/hyperlink" Target="https://www.kararamining.com.au/" TargetMode="External"/><Relationship Id="rId194" Type="http://schemas.openxmlformats.org/officeDocument/2006/relationships/hyperlink" Target="https://saemc.com.au/wp-content/uploads/2022/12/Session-4-01-Geoff-Johnson-1.pdf" TargetMode="External"/><Relationship Id="rId208" Type="http://schemas.openxmlformats.org/officeDocument/2006/relationships/hyperlink" Target="https://lincolnminerals.com.au/" TargetMode="External"/><Relationship Id="rId415" Type="http://schemas.openxmlformats.org/officeDocument/2006/relationships/hyperlink" Target="https://company-announcements.afr.com/asx/ahn/3f46d6d7-d004-11ec-8084-8277c9a3b1ab.pdf?utm_source=chatgpt.com" TargetMode="External"/><Relationship Id="rId457" Type="http://schemas.openxmlformats.org/officeDocument/2006/relationships/hyperlink" Target="https://sites.google.com/ieefa.org/no-link-available/home" TargetMode="External"/><Relationship Id="rId261" Type="http://schemas.openxmlformats.org/officeDocument/2006/relationships/hyperlink" Target="https://mining.com.au/northern-iron-dispatches-inaugural-magnetite-shipment/" TargetMode="External"/><Relationship Id="rId499" Type="http://schemas.openxmlformats.org/officeDocument/2006/relationships/hyperlink" Target="https://sites.google.com/ieefa.org/no-link-available/home" TargetMode="External"/><Relationship Id="rId14" Type="http://schemas.openxmlformats.org/officeDocument/2006/relationships/hyperlink" Target="https://www.aspecthuntley.com.au/asxdata/20120604/pdf/01302731.pdf" TargetMode="External"/><Relationship Id="rId56" Type="http://schemas.openxmlformats.org/officeDocument/2006/relationships/hyperlink" Target="https://announcements.asx.com.au/asxpdf/20220321/pdf/45767f9j59nd4m.pdf" TargetMode="External"/><Relationship Id="rId317" Type="http://schemas.openxmlformats.org/officeDocument/2006/relationships/hyperlink" Target="https://cdn-api.markitdigital.com/apiman-gateway/ASX/asx-research/1.0/file/2995-02049769-6A909994&amp;v=4a466cc3f899e00730cfbfcd5ab8940c41f474b6" TargetMode="External"/><Relationship Id="rId359" Type="http://schemas.openxmlformats.org/officeDocument/2006/relationships/hyperlink" Target="https://minerals.sarig.sa.gov.au/MineralDepositDetails.aspx?DEPOSIT_NO=3760&amp;ref=1" TargetMode="External"/><Relationship Id="rId98" Type="http://schemas.openxmlformats.org/officeDocument/2006/relationships/hyperlink" Target="https://wcsecure.weblink.com.au/pdf/LML/02859106.pdf" TargetMode="External"/><Relationship Id="rId121" Type="http://schemas.openxmlformats.org/officeDocument/2006/relationships/hyperlink" Target="https://wcsecure.weblink.com.au/pdf/CZR/02693353.pdf" TargetMode="External"/><Relationship Id="rId163" Type="http://schemas.openxmlformats.org/officeDocument/2006/relationships/hyperlink" Target="https://www.aspecthuntley.com.au/asxdata/20120222/pdf/01271121.pdf" TargetMode="External"/><Relationship Id="rId219" Type="http://schemas.openxmlformats.org/officeDocument/2006/relationships/hyperlink" Target="https://wcsecure.weblink.com.au/pdf/LML/02787328.pdf" TargetMode="External"/><Relationship Id="rId370" Type="http://schemas.openxmlformats.org/officeDocument/2006/relationships/hyperlink" Target="https://minerals.sarig.sa.gov.au/MineralDepositDetails.aspx?DEPOSIT_NO=3011&amp;ref=1" TargetMode="External"/><Relationship Id="rId426" Type="http://schemas.openxmlformats.org/officeDocument/2006/relationships/hyperlink" Target="https://announcements.asx.com.au/asxpdf/20131011/pdf/42jzhm5mf7qssv.pdf" TargetMode="External"/><Relationship Id="rId230" Type="http://schemas.openxmlformats.org/officeDocument/2006/relationships/hyperlink" Target="https://www.energymining.sa.gov.au/industry/geological-survey/gssa-projects/magnetite-south-australia" TargetMode="External"/><Relationship Id="rId468" Type="http://schemas.openxmlformats.org/officeDocument/2006/relationships/hyperlink" Target="https://sites.google.com/ieefa.org/no-link-available/home" TargetMode="External"/><Relationship Id="rId25" Type="http://schemas.openxmlformats.org/officeDocument/2006/relationships/hyperlink" Target="https://announcements.asx.com.au/asxpdf/20210923/pdf/450sc8lyh8ycd5.pdf" TargetMode="External"/><Relationship Id="rId67" Type="http://schemas.openxmlformats.org/officeDocument/2006/relationships/hyperlink" Target="https://wcsecure.weblink.com.au/pdf/BUR/02914575.pdf" TargetMode="External"/><Relationship Id="rId272" Type="http://schemas.openxmlformats.org/officeDocument/2006/relationships/hyperlink" Target="https://app.sharelinktechnologies.com/announcement/asx/844c0514c9e165316c6f6c34691d4795" TargetMode="External"/><Relationship Id="rId328" Type="http://schemas.openxmlformats.org/officeDocument/2006/relationships/hyperlink" Target="https://wcsecure.weblink.com.au/pdf/VKA/02741882.pdf" TargetMode="External"/><Relationship Id="rId132" Type="http://schemas.openxmlformats.org/officeDocument/2006/relationships/hyperlink" Target="https://www.fortescue.com/en/what-we-do/our-operations/iron-bridge" TargetMode="External"/><Relationship Id="rId174" Type="http://schemas.openxmlformats.org/officeDocument/2006/relationships/hyperlink" Target="https://yggroup.com.au/" TargetMode="External"/><Relationship Id="rId381" Type="http://schemas.openxmlformats.org/officeDocument/2006/relationships/hyperlink" Target="https://wcsecure.weblink.com.au/pdf/LML/02859106.pdf" TargetMode="External"/><Relationship Id="rId241" Type="http://schemas.openxmlformats.org/officeDocument/2006/relationships/hyperlink" Target="https://elmoreltd.com.au/projects/" TargetMode="External"/><Relationship Id="rId437" Type="http://schemas.openxmlformats.org/officeDocument/2006/relationships/hyperlink" Target="https://www.ironroadlimited.com.au/index.php/central-eyre-iron-project" TargetMode="External"/><Relationship Id="rId479" Type="http://schemas.openxmlformats.org/officeDocument/2006/relationships/hyperlink" Target="https://sites.google.com/ieefa.org/no-link-available/home" TargetMode="External"/><Relationship Id="rId36" Type="http://schemas.openxmlformats.org/officeDocument/2006/relationships/hyperlink" Target="https://www.marketindex.com.au/asx/wbt/announcements/maiden-353-mt-magnetite-jorc-resource-for-die-hardy-XX566777" TargetMode="External"/><Relationship Id="rId283" Type="http://schemas.openxmlformats.org/officeDocument/2006/relationships/hyperlink" Target="https://announcements.asx.com.au/asxpdf/20140901/pdf/42rx9pt84xmqqf.pdf" TargetMode="External"/><Relationship Id="rId339" Type="http://schemas.openxmlformats.org/officeDocument/2006/relationships/hyperlink" Target="https://minedex.dmirs.wa.gov.au/Web/projects/details/38b27c61-cb52-539e-7bf5-6ea5a88b5315" TargetMode="External"/><Relationship Id="rId490" Type="http://schemas.openxmlformats.org/officeDocument/2006/relationships/hyperlink" Target="https://www.leic.com.au/projects/project-timeline.aspx?" TargetMode="External"/><Relationship Id="rId504" Type="http://schemas.openxmlformats.org/officeDocument/2006/relationships/hyperlink" Target="https://sites.google.com/ieefa.org/no-link-available/home" TargetMode="External"/><Relationship Id="rId78" Type="http://schemas.openxmlformats.org/officeDocument/2006/relationships/hyperlink" Target="https://minedex.dmirs.wa.gov.au/Web/projects/details/f204f99d-83dd-4115-813f-5a270f994f45" TargetMode="External"/><Relationship Id="rId101" Type="http://schemas.openxmlformats.org/officeDocument/2006/relationships/hyperlink" Target="https://invest.sa.gov.au/projects/commonwealth-hill-magnetite-project" TargetMode="External"/><Relationship Id="rId143" Type="http://schemas.openxmlformats.org/officeDocument/2006/relationships/hyperlink" Target="https://www.magnetitemines.com/" TargetMode="External"/><Relationship Id="rId185" Type="http://schemas.openxmlformats.org/officeDocument/2006/relationships/hyperlink" Target="https://cqmetals.com.au/" TargetMode="External"/><Relationship Id="rId350" Type="http://schemas.openxmlformats.org/officeDocument/2006/relationships/hyperlink" Target="https://minerals.sarig.sa.gov.au/MineralDepositDetails.aspx?DEPOSIT_NO=313&amp;ref=1" TargetMode="External"/><Relationship Id="rId406" Type="http://schemas.openxmlformats.org/officeDocument/2006/relationships/hyperlink" Target="http://www.accentresources.com.au/P_Magnetite.html" TargetMode="External"/><Relationship Id="rId9" Type="http://schemas.openxmlformats.org/officeDocument/2006/relationships/hyperlink" Target="https://minedex.dmirs.wa.gov.au/Web/sites/details/073a114a-f223-4893-9aec-a7b15c1cef7c" TargetMode="External"/><Relationship Id="rId210" Type="http://schemas.openxmlformats.org/officeDocument/2006/relationships/hyperlink" Target="https://lincolnminerals.com.au/projects/green-iron-magnetite-project/" TargetMode="External"/><Relationship Id="rId392" Type="http://schemas.openxmlformats.org/officeDocument/2006/relationships/hyperlink" Target="https://announcements.asx.com.au/asxpdf/20210705/pdf/44y0fwc23vzhn0.pdf" TargetMode="External"/><Relationship Id="rId448" Type="http://schemas.openxmlformats.org/officeDocument/2006/relationships/hyperlink" Target="https://minerals.sarig.sa.gov.au/MineralDepositDetails.aspx?DEPOSIT_NO=8317&amp;ref=1" TargetMode="External"/><Relationship Id="rId252" Type="http://schemas.openxmlformats.org/officeDocument/2006/relationships/hyperlink" Target="https://www.aspecthuntley.com.au/asxdata/20120112/pdf/01259324.pdf" TargetMode="External"/><Relationship Id="rId294" Type="http://schemas.openxmlformats.org/officeDocument/2006/relationships/hyperlink" Target="https://wcsecure.weblink.com.au/pdf/HIO/02820097.pdf" TargetMode="External"/><Relationship Id="rId308" Type="http://schemas.openxmlformats.org/officeDocument/2006/relationships/hyperlink" Target="https://www.energymining.sa.gov.au/industry/geological-survey/gssa-projects/magnetite-south-australia" TargetMode="External"/><Relationship Id="rId47" Type="http://schemas.openxmlformats.org/officeDocument/2006/relationships/hyperlink" Target="https://www.aspecthuntley.com.au/asxdata/20181019/pdf/02036550.pdf" TargetMode="External"/><Relationship Id="rId89" Type="http://schemas.openxmlformats.org/officeDocument/2006/relationships/hyperlink" Target="https://www.vizmap.com.au/NRM/Commodities/493456.htm" TargetMode="External"/><Relationship Id="rId112" Type="http://schemas.openxmlformats.org/officeDocument/2006/relationships/hyperlink" Target="https://grange.blob.core.windows.net/public/ce6fad1a-c025-47c1-96f9-55d9f18830cb.pdf" TargetMode="External"/><Relationship Id="rId154" Type="http://schemas.openxmlformats.org/officeDocument/2006/relationships/hyperlink" Target="https://www.junominerals.com.au/" TargetMode="External"/><Relationship Id="rId361" Type="http://schemas.openxmlformats.org/officeDocument/2006/relationships/hyperlink" Target="https://minerals.sarig.sa.gov.au/MineralDepositDetails.aspx?DEPOSIT_NO=33&amp;ref=1" TargetMode="External"/><Relationship Id="rId196" Type="http://schemas.openxmlformats.org/officeDocument/2006/relationships/hyperlink" Target="https://macarthurminerals.com/" TargetMode="External"/><Relationship Id="rId417" Type="http://schemas.openxmlformats.org/officeDocument/2006/relationships/hyperlink" Target="https://www.epa.wa.gov.au/proposals/jack-hills-expansion-project" TargetMode="External"/><Relationship Id="rId459" Type="http://schemas.openxmlformats.org/officeDocument/2006/relationships/hyperlink" Target="https://sites.google.com/ieefa.org/no-link-available/home" TargetMode="External"/><Relationship Id="rId16" Type="http://schemas.openxmlformats.org/officeDocument/2006/relationships/hyperlink" Target="https://wcsecure.weblink.com.au/pdf/FEX/02680649.pdf" TargetMode="External"/><Relationship Id="rId221" Type="http://schemas.openxmlformats.org/officeDocument/2006/relationships/hyperlink" Target="https://announcements.asx.com.au/asxpdf/20110601/pdf/41yzhdw81s2j8x.pdf" TargetMode="External"/><Relationship Id="rId263" Type="http://schemas.openxmlformats.org/officeDocument/2006/relationships/hyperlink" Target="https://www.hanroy.com.au/" TargetMode="External"/><Relationship Id="rId319" Type="http://schemas.openxmlformats.org/officeDocument/2006/relationships/hyperlink" Target="https://announcements.asx.com.au/asxpdf/20130905/pdf/42j641psjj2wkn.pdf" TargetMode="External"/><Relationship Id="rId470" Type="http://schemas.openxmlformats.org/officeDocument/2006/relationships/hyperlink" Target="https://sites.google.com/ieefa.org/no-link-available/home" TargetMode="External"/><Relationship Id="rId58" Type="http://schemas.openxmlformats.org/officeDocument/2006/relationships/hyperlink" Target="https://announcements.asx.com.au/asxpdf/20220321/pdf/45767f9j59nd4m.pdf" TargetMode="External"/><Relationship Id="rId123" Type="http://schemas.openxmlformats.org/officeDocument/2006/relationships/hyperlink" Target="https://minedex.dmirs.wa.gov.au/Web/resource-estimates/details/site/dc2b5a59-36e3-4395-8c4b-df6b334ffa00" TargetMode="External"/><Relationship Id="rId330" Type="http://schemas.openxmlformats.org/officeDocument/2006/relationships/hyperlink" Target="https://minedex.dmirs.wa.gov.au/Web/projects/details/ae681714-3508-490f-b770-0cc6864021c2" TargetMode="External"/><Relationship Id="rId165" Type="http://schemas.openxmlformats.org/officeDocument/2006/relationships/hyperlink" Target="https://portergeo.com.au/database/mineinfo.asp?mineid=mn1149" TargetMode="External"/><Relationship Id="rId372" Type="http://schemas.openxmlformats.org/officeDocument/2006/relationships/hyperlink" Target="https://minerals.sarig.sa.gov.au/MineralDepositDetails.aspx?DEPOSIT_NO=11181&amp;ref=1" TargetMode="External"/><Relationship Id="rId428" Type="http://schemas.openxmlformats.org/officeDocument/2006/relationships/hyperlink" Target="https://www.hfw.com/insights/clive-palmer-v-the-commonwealth-of-australia/" TargetMode="External"/><Relationship Id="rId232" Type="http://schemas.openxmlformats.org/officeDocument/2006/relationships/hyperlink" Target="https://oscarresources.com.au/" TargetMode="External"/><Relationship Id="rId274" Type="http://schemas.openxmlformats.org/officeDocument/2006/relationships/hyperlink" Target="https://announcements.asx.com.au/asxpdf/20171220/pdf/43qbd05dkr2qnq.pdf" TargetMode="External"/><Relationship Id="rId481" Type="http://schemas.openxmlformats.org/officeDocument/2006/relationships/hyperlink" Target="https://sites.google.com/ieefa.org/no-link-available/home" TargetMode="External"/><Relationship Id="rId27" Type="http://schemas.openxmlformats.org/officeDocument/2006/relationships/hyperlink" Target="https://www.junominerals.com.au/cproot/1212/3/20250115-Investor-Presentation-Re-release-MERGED-.pdf" TargetMode="External"/><Relationship Id="rId69" Type="http://schemas.openxmlformats.org/officeDocument/2006/relationships/hyperlink" Target="https://minedex.dmirs.wa.gov.au/Web/sites/details/525a7369-9b53-4f3d-8cb6-6008d75d1263" TargetMode="External"/><Relationship Id="rId134" Type="http://schemas.openxmlformats.org/officeDocument/2006/relationships/hyperlink" Target="https://geodocs.dmirs.wa.gov.au/Web/documentlist/8/ML_NUM/M47%2F1436" TargetMode="External"/><Relationship Id="rId80" Type="http://schemas.openxmlformats.org/officeDocument/2006/relationships/hyperlink" Target="https://announcements.asx.com.au/asxpdf/20131011/pdf/42jzhm5mf7qssv.pdf" TargetMode="External"/><Relationship Id="rId176" Type="http://schemas.openxmlformats.org/officeDocument/2006/relationships/hyperlink" Target="https://www.czrresources.com/" TargetMode="External"/><Relationship Id="rId341" Type="http://schemas.openxmlformats.org/officeDocument/2006/relationships/hyperlink" Target="https://www.mtgibsoniron.com.au/wp-content/uploads/060221-Extension-Hill-Magnetite-Project.pdf" TargetMode="External"/><Relationship Id="rId383" Type="http://schemas.openxmlformats.org/officeDocument/2006/relationships/hyperlink" Target="https://wcsecure.weblink.com.au/pdf/LML/02859106.pdf" TargetMode="External"/><Relationship Id="rId439" Type="http://schemas.openxmlformats.org/officeDocument/2006/relationships/hyperlink" Target="https://wcsecure.weblink.com.au/pdf/IRD/02884290.pdf" TargetMode="External"/><Relationship Id="rId201" Type="http://schemas.openxmlformats.org/officeDocument/2006/relationships/hyperlink" Target="https://lincolnminerals.com.au/" TargetMode="External"/><Relationship Id="rId243" Type="http://schemas.openxmlformats.org/officeDocument/2006/relationships/hyperlink" Target="https://fenix.com.au/" TargetMode="External"/><Relationship Id="rId285" Type="http://schemas.openxmlformats.org/officeDocument/2006/relationships/hyperlink" Target="https://www.listcorp.com/asx/acs/accent-resources/news/magnetite-range-mineral-resource-update-2997134.html" TargetMode="External"/><Relationship Id="rId450" Type="http://schemas.openxmlformats.org/officeDocument/2006/relationships/hyperlink" Target="https://sites.google.com/ieefa.org/no-link-available/home" TargetMode="External"/><Relationship Id="rId506" Type="http://schemas.openxmlformats.org/officeDocument/2006/relationships/vmlDrawing" Target="../drawings/vmlDrawing1.vml"/><Relationship Id="rId38" Type="http://schemas.openxmlformats.org/officeDocument/2006/relationships/hyperlink" Target="https://minedex.dmirs.wa.gov.au/Web/sites/details/78fb7072-c666-4088-a7d9-b56b3cfa5fcb" TargetMode="External"/><Relationship Id="rId103" Type="http://schemas.openxmlformats.org/officeDocument/2006/relationships/hyperlink" Target="https://www.aspecthuntley.com.au/asxdata/20140729/pdf/01536981.pdf" TargetMode="External"/><Relationship Id="rId310" Type="http://schemas.openxmlformats.org/officeDocument/2006/relationships/hyperlink" Target="https://geodocs.dmirs.wa.gov.au/Web/documentlist/10/Report_Ref/A32419" TargetMode="External"/><Relationship Id="rId492" Type="http://schemas.openxmlformats.org/officeDocument/2006/relationships/hyperlink" Target="https://tempestminerals.com/yalgoo/" TargetMode="External"/><Relationship Id="rId91" Type="http://schemas.openxmlformats.org/officeDocument/2006/relationships/hyperlink" Target="https://hotcopper.com.au/data/oldanns/2010/IFE/af96ef73-3443-446d-8259-4e5aa558a1c0-IFE504513.pdf" TargetMode="External"/><Relationship Id="rId145" Type="http://schemas.openxmlformats.org/officeDocument/2006/relationships/hyperlink" Target="https://www.magnetitemines.com/razorback-iron-ore-project" TargetMode="External"/><Relationship Id="rId187" Type="http://schemas.openxmlformats.org/officeDocument/2006/relationships/hyperlink" Target="https://www.peakiron.com/" TargetMode="External"/><Relationship Id="rId352" Type="http://schemas.openxmlformats.org/officeDocument/2006/relationships/hyperlink" Target="https://minerals.sarig.sa.gov.au/MineralDepositDetails.aspx?DEPOSIT_NO=9495&amp;ref=1" TargetMode="External"/><Relationship Id="rId394" Type="http://schemas.openxmlformats.org/officeDocument/2006/relationships/hyperlink" Target="https://announcements.asx.com.au/asxpdf/20130130/pdf/42cnvwclhdpyqv.pdf" TargetMode="External"/><Relationship Id="rId408" Type="http://schemas.openxmlformats.org/officeDocument/2006/relationships/hyperlink" Target="https://smcl.com.au/projects/koolanooka-magnetite/?utm" TargetMode="External"/><Relationship Id="rId212" Type="http://schemas.openxmlformats.org/officeDocument/2006/relationships/hyperlink" Target="https://lincolnminerals.com.au/projects/green-iron-magnetite-project/" TargetMode="External"/><Relationship Id="rId254" Type="http://schemas.openxmlformats.org/officeDocument/2006/relationships/hyperlink" Target="https://www.tasmines.com.au/about" TargetMode="External"/><Relationship Id="rId49" Type="http://schemas.openxmlformats.org/officeDocument/2006/relationships/hyperlink" Target="https://minedex.dmirs.wa.gov.au/Web/sites/details/4f672cbe-9570-4381-9363-7412ff7c2bb3" TargetMode="External"/><Relationship Id="rId114" Type="http://schemas.openxmlformats.org/officeDocument/2006/relationships/hyperlink" Target="https://www.nsenergybusiness.com/projects/rogetta-iron-ore-project-tasmania/?cf-view" TargetMode="External"/><Relationship Id="rId296" Type="http://schemas.openxmlformats.org/officeDocument/2006/relationships/hyperlink" Target="https://www.aspecthuntley.com.au/asxdata/20120112/pdf/01259324.pdf" TargetMode="External"/><Relationship Id="rId461" Type="http://schemas.openxmlformats.org/officeDocument/2006/relationships/hyperlink" Target="https://sites.google.com/ieefa.org/no-link-available/home" TargetMode="External"/><Relationship Id="rId60" Type="http://schemas.openxmlformats.org/officeDocument/2006/relationships/hyperlink" Target="https://minedex.dmirs.wa.gov.au/Web/projects/details/15d56d41-8c44-41da-be09-9e15c5ee09f6" TargetMode="External"/><Relationship Id="rId156" Type="http://schemas.openxmlformats.org/officeDocument/2006/relationships/hyperlink" Target="https://www.hanroy.com.au/projects/" TargetMode="External"/><Relationship Id="rId198" Type="http://schemas.openxmlformats.org/officeDocument/2006/relationships/hyperlink" Target="http://www.accentresources.com.au/P_Magnetite.html" TargetMode="External"/><Relationship Id="rId321" Type="http://schemas.openxmlformats.org/officeDocument/2006/relationships/hyperlink" Target="https://minedex.dmirs.wa.gov.au/Web/sites/details/4e365f61-c6f6-423a-8b5e-85e10b812902" TargetMode="External"/><Relationship Id="rId363" Type="http://schemas.openxmlformats.org/officeDocument/2006/relationships/hyperlink" Target="https://minerals.sarig.sa.gov.au/MineralDepositDetails.aspx?DEPOSIT_NO=8361&amp;ref=1" TargetMode="External"/><Relationship Id="rId419" Type="http://schemas.openxmlformats.org/officeDocument/2006/relationships/hyperlink" Target="https://announcements.asx.com.au/asxpdf/20150616/pdf/42z70yl5tjn54v.pdf?utm" TargetMode="External"/><Relationship Id="rId223" Type="http://schemas.openxmlformats.org/officeDocument/2006/relationships/hyperlink" Target="https://announcements.asx.com.au/asxpdf/20150918/pdf/431f68b3p86hln.pdf" TargetMode="External"/><Relationship Id="rId430" Type="http://schemas.openxmlformats.org/officeDocument/2006/relationships/hyperlink" Target="https://speedwaymagnetite.weebly.com/costs.html" TargetMode="External"/><Relationship Id="rId18" Type="http://schemas.openxmlformats.org/officeDocument/2006/relationships/hyperlink" Target="https://img1.wsimg.com/blobby/go/33dd81f6-e660-468a-9dbe-780e154509da/downloads/ee7d5a97-9790-4fbf-91f8-400507d5f580/FIJV%20Yogi%20Project_Environmental%20Management%20Pla.pdf?ver=1746509983453" TargetMode="External"/><Relationship Id="rId265" Type="http://schemas.openxmlformats.org/officeDocument/2006/relationships/hyperlink" Target="https://wcsecure.weblink.com.au/pdf/BUR/02392963.pdf" TargetMode="External"/><Relationship Id="rId472" Type="http://schemas.openxmlformats.org/officeDocument/2006/relationships/hyperlink" Target="https://sites.google.com/ieefa.org/no-link-available/home" TargetMode="External"/><Relationship Id="rId125" Type="http://schemas.openxmlformats.org/officeDocument/2006/relationships/hyperlink" Target="https://citicpacificmining.com/our-operation" TargetMode="External"/><Relationship Id="rId167" Type="http://schemas.openxmlformats.org/officeDocument/2006/relationships/hyperlink" Target="https://www.lodestonemines.com/olaryflatsproject" TargetMode="External"/><Relationship Id="rId332" Type="http://schemas.openxmlformats.org/officeDocument/2006/relationships/hyperlink" Target="https://vikingmines.com/" TargetMode="External"/><Relationship Id="rId374" Type="http://schemas.openxmlformats.org/officeDocument/2006/relationships/hyperlink" Target="https://www.energymining.sa.gov.au/industry/minerals-and-mining/mining/community-engagement-opportunities/wilcherry-weednanna-gold-and-iron-project" TargetMode="External"/><Relationship Id="rId71" Type="http://schemas.openxmlformats.org/officeDocument/2006/relationships/hyperlink" Target="https://cdn-api.markitdigital.com/apiman-gateway/ASX/asx-research/1.0/file/2995-01345668-3A380774&amp;v=04711220c3a57065317ba4efca4a3459a4e46882" TargetMode="External"/><Relationship Id="rId234" Type="http://schemas.openxmlformats.org/officeDocument/2006/relationships/hyperlink" Target="https://www.surefireresources.com.au/project/perenjori-iron-ore/" TargetMode="External"/><Relationship Id="rId2" Type="http://schemas.openxmlformats.org/officeDocument/2006/relationships/hyperlink" Target="https://announcements.asx.com.au/asxpdf/20210705/pdf/44y0fwc23vzhn0.pdf" TargetMode="External"/><Relationship Id="rId29" Type="http://schemas.openxmlformats.org/officeDocument/2006/relationships/hyperlink" Target="https://minedex.dmirs.wa.gov.au/Web/sites/details/da18445a-79a5-48ec-ab75-f904da89ffe2" TargetMode="External"/><Relationship Id="rId276" Type="http://schemas.openxmlformats.org/officeDocument/2006/relationships/hyperlink" Target="https://www.energymining.sa.gov.au/industry/minerals-and-mining/mineral-commodities/iron-ore" TargetMode="External"/><Relationship Id="rId441" Type="http://schemas.openxmlformats.org/officeDocument/2006/relationships/hyperlink" Target="https://www.ironroadlimited.com.au/index.php/projects/25-central-eyre-iron-project/mlp-eis" TargetMode="External"/><Relationship Id="rId483" Type="http://schemas.openxmlformats.org/officeDocument/2006/relationships/hyperlink" Target="https://smcl.com.au/projects/koolanooka-magnetite/" TargetMode="External"/><Relationship Id="rId40" Type="http://schemas.openxmlformats.org/officeDocument/2006/relationships/hyperlink" Target="https://www.aspecthuntley.com.au/asxdata/20110606/pdf/01186755.pdf" TargetMode="External"/><Relationship Id="rId136" Type="http://schemas.openxmlformats.org/officeDocument/2006/relationships/hyperlink" Target="https://sunmirror.net/projects/cape-lambert/" TargetMode="External"/><Relationship Id="rId178" Type="http://schemas.openxmlformats.org/officeDocument/2006/relationships/hyperlink" Target="https://buxtonresources.com.au/" TargetMode="External"/><Relationship Id="rId301" Type="http://schemas.openxmlformats.org/officeDocument/2006/relationships/hyperlink" Target="https://invest.sa.gov.au/projects/commonwealth-hill-magnetite-project" TargetMode="External"/><Relationship Id="rId343" Type="http://schemas.openxmlformats.org/officeDocument/2006/relationships/hyperlink" Target="https://fijv.au/yogi-magnetite-mine/f/environmental-milestone-wa-approval-for-yogi-management-plan" TargetMode="External"/><Relationship Id="rId82" Type="http://schemas.openxmlformats.org/officeDocument/2006/relationships/hyperlink" Target="https://announcements.asx.com.au/asxpdf/20131011/pdf/42jzhm5mf7qssv.pdf" TargetMode="External"/><Relationship Id="rId203" Type="http://schemas.openxmlformats.org/officeDocument/2006/relationships/hyperlink" Target="https://lincolnminerals.com.au/" TargetMode="External"/><Relationship Id="rId385" Type="http://schemas.openxmlformats.org/officeDocument/2006/relationships/hyperlink" Target="https://wcsecure.weblink.com.au/pdf/LML/02859106.pdf" TargetMode="External"/><Relationship Id="rId245" Type="http://schemas.openxmlformats.org/officeDocument/2006/relationships/hyperlink" Target="https://smcl.com.au/projects/jack-hills/" TargetMode="External"/><Relationship Id="rId287" Type="http://schemas.openxmlformats.org/officeDocument/2006/relationships/hyperlink" Target="https://www.energymining.sa.gov.au/industry/geological-survey/gssa-projects/magnetite-south-australia" TargetMode="External"/><Relationship Id="rId410" Type="http://schemas.openxmlformats.org/officeDocument/2006/relationships/hyperlink" Target="https://www.epa.wa.gov.au/sites/default/files/Referral_Documentation/PRE09191%2001%20Irvine%20Island%20Explanatory%20document%20for%20referral%20Rev%200.pdf?utm_source=chatgpt.com" TargetMode="External"/><Relationship Id="rId452" Type="http://schemas.openxmlformats.org/officeDocument/2006/relationships/hyperlink" Target="https://sites.google.com/ieefa.org/no-link-available/home" TargetMode="External"/><Relationship Id="rId494" Type="http://schemas.openxmlformats.org/officeDocument/2006/relationships/hyperlink" Target="https://sites.google.com/ieefa.org/no-link-available/home" TargetMode="External"/><Relationship Id="rId508" Type="http://schemas.microsoft.com/office/2017/10/relationships/threadedComment" Target="../threadedComments/threadedComment1.xml"/><Relationship Id="rId105" Type="http://schemas.openxmlformats.org/officeDocument/2006/relationships/hyperlink" Target="https://announcements.asx.com.au/asxpdf/20120525/pdf/426gp0l17x8p6l.pdf" TargetMode="External"/><Relationship Id="rId147" Type="http://schemas.openxmlformats.org/officeDocument/2006/relationships/hyperlink" Target="https://company-announcements.afr.com/asx/mgt/388fcf20-5548-11f0-ab50-fa3dfe1111bc.pdf" TargetMode="External"/><Relationship Id="rId312" Type="http://schemas.openxmlformats.org/officeDocument/2006/relationships/hyperlink" Target="https://announcements.asx.com.au/asxpdf/20150219/pdf/42wqg926pgxhhf.pdf" TargetMode="External"/><Relationship Id="rId354" Type="http://schemas.openxmlformats.org/officeDocument/2006/relationships/hyperlink" Target="https://minerals.sarig.sa.gov.au/MineralDepositDetails.aspx?DEPOSIT_NO=5008&amp;ref=1" TargetMode="External"/><Relationship Id="rId51" Type="http://schemas.openxmlformats.org/officeDocument/2006/relationships/hyperlink" Target="https://announcements.asx.com.au/asxpdf/20130521/pdf/42g07m6wr47z7b.pdf" TargetMode="External"/><Relationship Id="rId93" Type="http://schemas.openxmlformats.org/officeDocument/2006/relationships/hyperlink" Target="https://wcsecure.weblink.com.au/pdf/LML/02787328.pdf" TargetMode="External"/><Relationship Id="rId189" Type="http://schemas.openxmlformats.org/officeDocument/2006/relationships/hyperlink" Target="https://easternresources.com.au/" TargetMode="External"/><Relationship Id="rId396" Type="http://schemas.openxmlformats.org/officeDocument/2006/relationships/hyperlink" Target="https://wcsecure.weblink.com.au/pdf/FEX/02680649.pdf" TargetMode="External"/><Relationship Id="rId214" Type="http://schemas.openxmlformats.org/officeDocument/2006/relationships/hyperlink" Target="https://lincolnminerals.com.au/projects/green-iron-magnetite-project/" TargetMode="External"/><Relationship Id="rId256" Type="http://schemas.openxmlformats.org/officeDocument/2006/relationships/hyperlink" Target="https://catalinaresources.com.au/" TargetMode="External"/><Relationship Id="rId298" Type="http://schemas.openxmlformats.org/officeDocument/2006/relationships/hyperlink" Target="https://cdn.fortescue.com/docs/default-source/announcements-and-reports/iron-bridge-magnetite-reserves-and-resources-update.pdf?sfvrsn=50020b06_1" TargetMode="External"/><Relationship Id="rId421" Type="http://schemas.openxmlformats.org/officeDocument/2006/relationships/hyperlink" Target="https://easternresources.com.au/nowa-nowa/" TargetMode="External"/><Relationship Id="rId463" Type="http://schemas.openxmlformats.org/officeDocument/2006/relationships/hyperlink" Target="https://sites.google.com/ieefa.org/no-link-available/home" TargetMode="External"/><Relationship Id="rId116" Type="http://schemas.openxmlformats.org/officeDocument/2006/relationships/hyperlink" Target="https://grange.blob.core.windows.net/public/059dc88b-f7fa-40bb-8d98-fc25751959a1.pdf" TargetMode="External"/><Relationship Id="rId158" Type="http://schemas.openxmlformats.org/officeDocument/2006/relationships/hyperlink" Target="https://www.grangeresources.com.au/operations/southdown" TargetMode="External"/><Relationship Id="rId323" Type="http://schemas.openxmlformats.org/officeDocument/2006/relationships/hyperlink" Target="https://announcements.asx.com.au/asxpdf/20111216/pdf/4239v45c02k79t.pdf" TargetMode="External"/><Relationship Id="rId20" Type="http://schemas.openxmlformats.org/officeDocument/2006/relationships/hyperlink" Target="https://minedex.dmirs.wa.gov.au/Web/projects/details/8492d996-2abf-4c7d-8430-2c7a40973111" TargetMode="External"/><Relationship Id="rId62" Type="http://schemas.openxmlformats.org/officeDocument/2006/relationships/hyperlink" Target="https://minedex.dmirs.wa.gov.au/Web/projects/details/78e96fea-2c7c-4192-bde7-bb614d362f27" TargetMode="External"/><Relationship Id="rId365" Type="http://schemas.openxmlformats.org/officeDocument/2006/relationships/hyperlink" Target="https://minerals.sarig.sa.gov.au/MineralDepositDetails.aspx?DEPOSIT_NO=9807&amp;ref=1" TargetMode="External"/><Relationship Id="rId225" Type="http://schemas.openxmlformats.org/officeDocument/2006/relationships/hyperlink" Target="https://announcements.asx.com.au/asxpdf/20150918/pdf/431f68b3p86hln.pdf" TargetMode="External"/><Relationship Id="rId267" Type="http://schemas.openxmlformats.org/officeDocument/2006/relationships/hyperlink" Target="https://www.northern-iron.com.au/projects" TargetMode="External"/><Relationship Id="rId432" Type="http://schemas.openxmlformats.org/officeDocument/2006/relationships/hyperlink" Target="https://www.energymining.sa.gov.au/industry/geological-survey/gssa-projects/magnetite-south-australia" TargetMode="External"/><Relationship Id="rId474" Type="http://schemas.openxmlformats.org/officeDocument/2006/relationships/hyperlink" Target="https://sites.google.com/ieefa.org/no-link-available/home" TargetMode="External"/><Relationship Id="rId127" Type="http://schemas.openxmlformats.org/officeDocument/2006/relationships/hyperlink" Target="https://minedex.dmirs.wa.gov.au/Web/sites/details/bfa106c1-c86b-4c33-95e5-552b71223d0f" TargetMode="External"/><Relationship Id="rId31" Type="http://schemas.openxmlformats.org/officeDocument/2006/relationships/hyperlink" Target="https://cashmereiron.com/project-information/history-of-deposit-exploration/" TargetMode="External"/><Relationship Id="rId73" Type="http://schemas.openxmlformats.org/officeDocument/2006/relationships/hyperlink" Target="https://www.reedylagoon.com.au/wp-content/uploads/2018/07/ASX_13-07-31_13-Q2-Activities5B.pdf" TargetMode="External"/><Relationship Id="rId169" Type="http://schemas.openxmlformats.org/officeDocument/2006/relationships/hyperlink" Target="https://yggroup.com.au/projects/far-north-magnetite-resource/" TargetMode="External"/><Relationship Id="rId334" Type="http://schemas.openxmlformats.org/officeDocument/2006/relationships/hyperlink" Target="https://www.marketindex.com.au/asx/ida/announcements/imx-reports-favourable-metallurgical-test-results-XX642474" TargetMode="External"/><Relationship Id="rId376" Type="http://schemas.openxmlformats.org/officeDocument/2006/relationships/hyperlink" Target="https://www.aspecthuntley.com.au/asxdata/20200831/pdf/02274551.pdf" TargetMode="External"/><Relationship Id="rId4" Type="http://schemas.openxmlformats.org/officeDocument/2006/relationships/hyperlink" Target="https://announcements.asx.com.au/asxpdf/20120305/pdf/424tngsfvczpzz.pdf" TargetMode="External"/><Relationship Id="rId180" Type="http://schemas.openxmlformats.org/officeDocument/2006/relationships/hyperlink" Target="https://www.havilah-resources.com.au/grants" TargetMode="External"/><Relationship Id="rId215" Type="http://schemas.openxmlformats.org/officeDocument/2006/relationships/hyperlink" Target="https://lincolnminerals.com.au/projects/green-iron-magnetite-project/" TargetMode="External"/><Relationship Id="rId236" Type="http://schemas.openxmlformats.org/officeDocument/2006/relationships/hyperlink" Target="https://burleyminerals.com.au/" TargetMode="External"/><Relationship Id="rId257" Type="http://schemas.openxmlformats.org/officeDocument/2006/relationships/hyperlink" Target="https://forwardmining.com.au/" TargetMode="External"/><Relationship Id="rId278" Type="http://schemas.openxmlformats.org/officeDocument/2006/relationships/hyperlink" Target="https://hotcopper.com.au/data/announcements/ASX/820108_EFE.pdf" TargetMode="External"/><Relationship Id="rId401" Type="http://schemas.openxmlformats.org/officeDocument/2006/relationships/hyperlink" Target="https://www.junominerals.com.au/projects/mount-ida-magnetite-project" TargetMode="External"/><Relationship Id="rId422" Type="http://schemas.openxmlformats.org/officeDocument/2006/relationships/hyperlink" Target="https://announcements.asx.com.au/asxpdf/20210420/pdf/44vpy33sw335bq.pdf" TargetMode="External"/><Relationship Id="rId443" Type="http://schemas.openxmlformats.org/officeDocument/2006/relationships/hyperlink" Target="https://minedex.dmirs.wa.gov.au/Web/projects/details/2a2fe3da-834b-4af8-b1fc-2b056083534b" TargetMode="External"/><Relationship Id="rId464" Type="http://schemas.openxmlformats.org/officeDocument/2006/relationships/hyperlink" Target="https://sites.google.com/ieefa.org/no-link-available/home" TargetMode="External"/><Relationship Id="rId303" Type="http://schemas.openxmlformats.org/officeDocument/2006/relationships/hyperlink" Target="https://cashmereiron.com/project-information/history-of-deposit-exploration/" TargetMode="External"/><Relationship Id="rId485" Type="http://schemas.openxmlformats.org/officeDocument/2006/relationships/hyperlink" Target="https://investorhub.tempestminerals.com/announcements/6947910" TargetMode="External"/><Relationship Id="rId42" Type="http://schemas.openxmlformats.org/officeDocument/2006/relationships/hyperlink" Target="https://www.aspecthuntley.com.au/asxdata/20111108/pdf/01238683.pdf" TargetMode="External"/><Relationship Id="rId84" Type="http://schemas.openxmlformats.org/officeDocument/2006/relationships/hyperlink" Target="https://minedex.dmirs.wa.gov.au/Web/projects/details/5041f035-f389-4298-8466-142fb1bee1b9" TargetMode="External"/><Relationship Id="rId138" Type="http://schemas.openxmlformats.org/officeDocument/2006/relationships/hyperlink" Target="http://www.extensionhill.com.au/Projects/ExtensionHillMagnetiteProject.aspx" TargetMode="External"/><Relationship Id="rId345" Type="http://schemas.openxmlformats.org/officeDocument/2006/relationships/hyperlink" Target="https://www.listcorp.com/asx/haw/hawthorn-resources/news/lcy-mt-bevan-magnetite-jv-approves-forward-works-program-3087271.html" TargetMode="External"/><Relationship Id="rId387" Type="http://schemas.openxmlformats.org/officeDocument/2006/relationships/hyperlink" Target="https://wcsecure.weblink.com.au/pdf/LML/02859106.pdf" TargetMode="External"/><Relationship Id="rId191" Type="http://schemas.openxmlformats.org/officeDocument/2006/relationships/hyperlink" Target="https://fenix.com.au/our-business/mining/" TargetMode="External"/><Relationship Id="rId205" Type="http://schemas.openxmlformats.org/officeDocument/2006/relationships/hyperlink" Target="https://lincolnminerals.com.au/" TargetMode="External"/><Relationship Id="rId247" Type="http://schemas.openxmlformats.org/officeDocument/2006/relationships/hyperlink" Target="https://smcl.com.au/" TargetMode="External"/><Relationship Id="rId412" Type="http://schemas.openxmlformats.org/officeDocument/2006/relationships/hyperlink" Target="https://announcements.asx.com.au/asxpdf/20120606/pdf/426phn96fw93y0.pdf" TargetMode="External"/><Relationship Id="rId107" Type="http://schemas.openxmlformats.org/officeDocument/2006/relationships/hyperlink" Target="https://www.aspecthuntley.com.au/asxdata/20120301/pdf/01274782.pdf" TargetMode="External"/><Relationship Id="rId289" Type="http://schemas.openxmlformats.org/officeDocument/2006/relationships/hyperlink" Target="https://geodocs.dmirs.wa.gov.au/Web/documentlist/10/Report_Ref/A100900" TargetMode="External"/><Relationship Id="rId454" Type="http://schemas.openxmlformats.org/officeDocument/2006/relationships/hyperlink" Target="https://sites.google.com/ieefa.org/no-link-available/home" TargetMode="External"/><Relationship Id="rId496" Type="http://schemas.openxmlformats.org/officeDocument/2006/relationships/hyperlink" Target="https://sites.google.com/ieefa.org/no-link-available/home" TargetMode="External"/><Relationship Id="rId11" Type="http://schemas.openxmlformats.org/officeDocument/2006/relationships/hyperlink" Target="https://announcements.asx.com.au/asxpdf/20090923/pdf/31kwfdc1y1ffhw.pdf" TargetMode="External"/><Relationship Id="rId53" Type="http://schemas.openxmlformats.org/officeDocument/2006/relationships/hyperlink" Target="https://minedex.dmirs.wa.gov.au/Web/projects/details/204cc9af-ed09-479e-9af7-5e4a046f2941" TargetMode="External"/><Relationship Id="rId149" Type="http://schemas.openxmlformats.org/officeDocument/2006/relationships/hyperlink" Target="https://company-announcements.afr.com/asx/mgt/388fcf20-5548-11f0-ab50-fa3dfe1111bc.pdf" TargetMode="External"/><Relationship Id="rId314" Type="http://schemas.openxmlformats.org/officeDocument/2006/relationships/hyperlink" Target="https://www.havilah-resources.com.au/_files/ugd/0bf8d0_e61a9a04b81244bdab48ec7518349637.pdf" TargetMode="External"/><Relationship Id="rId356" Type="http://schemas.openxmlformats.org/officeDocument/2006/relationships/hyperlink" Target="https://minerals.sarig.sa.gov.au/MineralDepositDetails.aspx?DEPOSIT_NO=9320&amp;ref=1" TargetMode="External"/><Relationship Id="rId398" Type="http://schemas.openxmlformats.org/officeDocument/2006/relationships/hyperlink" Target="https://aust-sino.com/projects/Peak-Hill-Iron-Project" TargetMode="External"/><Relationship Id="rId95" Type="http://schemas.openxmlformats.org/officeDocument/2006/relationships/hyperlink" Target="https://wcsecure.weblink.com.au/pdf/LML/02787328.pdf" TargetMode="External"/><Relationship Id="rId160" Type="http://schemas.openxmlformats.org/officeDocument/2006/relationships/hyperlink" Target="https://cashmereiron.com/project-information/history-of-deposit-exploration/" TargetMode="External"/><Relationship Id="rId216" Type="http://schemas.openxmlformats.org/officeDocument/2006/relationships/hyperlink" Target="https://lincolnminerals.com.au/projects/green-iron-magnetite-project/" TargetMode="External"/><Relationship Id="rId423" Type="http://schemas.openxmlformats.org/officeDocument/2006/relationships/hyperlink" Target="https://announcements.asx.com.au/asxpdf/20210420/pdf/44vpy33sw335bq.pdf" TargetMode="External"/><Relationship Id="rId258" Type="http://schemas.openxmlformats.org/officeDocument/2006/relationships/hyperlink" Target="https://www.marketindex.com.au/asx/efe/announcements/maiden-resource-for-eulogie-project-XX653269" TargetMode="External"/><Relationship Id="rId465" Type="http://schemas.openxmlformats.org/officeDocument/2006/relationships/hyperlink" Target="https://sites.google.com/ieefa.org/no-link-available/home" TargetMode="External"/><Relationship Id="rId22" Type="http://schemas.openxmlformats.org/officeDocument/2006/relationships/hyperlink" Target="https://minedex.dmirs.wa.gov.au/Web/projects/details/aa5eda78-4085-4486-b600-5bbd9c9774ad" TargetMode="External"/><Relationship Id="rId64" Type="http://schemas.openxmlformats.org/officeDocument/2006/relationships/hyperlink" Target="https://announcements.asx.com.au/asxpdf/20130905/pdf/42j641psjj2wkn.pdf" TargetMode="External"/><Relationship Id="rId118" Type="http://schemas.openxmlformats.org/officeDocument/2006/relationships/hyperlink" Target="https://www.aspecthuntley.com.au/asxdata/20140521/pdf/01519382.pdf" TargetMode="External"/><Relationship Id="rId325" Type="http://schemas.openxmlformats.org/officeDocument/2006/relationships/hyperlink" Target="https://announcements.asx.com.au/asxpdf/20111216/pdf/4239v45c02k79t.pdf" TargetMode="External"/><Relationship Id="rId367" Type="http://schemas.openxmlformats.org/officeDocument/2006/relationships/hyperlink" Target="https://minerals.sarig.sa.gov.au/MineralDepositDetails.aspx?DEPOSIT_NO=6639&amp;ref=1" TargetMode="External"/><Relationship Id="rId171" Type="http://schemas.openxmlformats.org/officeDocument/2006/relationships/hyperlink" Target="https://aust-sino.com/projects/Peak-Hill-Iron-Project" TargetMode="External"/><Relationship Id="rId227" Type="http://schemas.openxmlformats.org/officeDocument/2006/relationships/hyperlink" Target="https://announcements.asx.com.au/asxpdf/20120607/pdf/426q70ddjcq4ds.pdf" TargetMode="External"/><Relationship Id="rId269" Type="http://schemas.openxmlformats.org/officeDocument/2006/relationships/hyperlink" Target="https://wcsecure.weblink.com.au/pdf/FEX/02680649.pdf" TargetMode="External"/><Relationship Id="rId434" Type="http://schemas.openxmlformats.org/officeDocument/2006/relationships/hyperlink" Target="https://announcements.asx.com.au/asxpdf/20220321/pdf/45767f9j59nd4m.pdf" TargetMode="External"/><Relationship Id="rId476" Type="http://schemas.openxmlformats.org/officeDocument/2006/relationships/hyperlink" Target="https://sites.google.com/ieefa.org/no-link-available/home" TargetMode="External"/><Relationship Id="rId33" Type="http://schemas.openxmlformats.org/officeDocument/2006/relationships/hyperlink" Target="https://minedex.dmirs.wa.gov.au/Web/projects/details/4574a758-65ef-4de7-b0e9-8f33429cfc06" TargetMode="External"/><Relationship Id="rId129" Type="http://schemas.openxmlformats.org/officeDocument/2006/relationships/hyperlink" Target="https://geodocs.dmirs.wa.gov.au/Web/documentlist/10/Report_Ref/A32419" TargetMode="External"/><Relationship Id="rId280" Type="http://schemas.openxmlformats.org/officeDocument/2006/relationships/hyperlink" Target="https://announcements.asx.com.au/asxpdf/20210923/pdf/450sc8lyh8ycd5.pdf" TargetMode="External"/><Relationship Id="rId336" Type="http://schemas.openxmlformats.org/officeDocument/2006/relationships/hyperlink" Target="https://speedwaymagnetite.weebly.com/" TargetMode="External"/><Relationship Id="rId501" Type="http://schemas.openxmlformats.org/officeDocument/2006/relationships/hyperlink" Target="https://sites.google.com/ieefa.org/no-link-available/home" TargetMode="External"/><Relationship Id="rId75" Type="http://schemas.openxmlformats.org/officeDocument/2006/relationships/hyperlink" Target="https://announcements.asx.com.au/asxpdf/20150216/pdf/42wmnsvt7rkbj6.pdf" TargetMode="External"/><Relationship Id="rId140" Type="http://schemas.openxmlformats.org/officeDocument/2006/relationships/hyperlink" Target="https://hawsons.com.au/" TargetMode="External"/><Relationship Id="rId182" Type="http://schemas.openxmlformats.org/officeDocument/2006/relationships/hyperlink" Target="https://www.havilah-resources.com.au/maldorky" TargetMode="External"/><Relationship Id="rId378" Type="http://schemas.openxmlformats.org/officeDocument/2006/relationships/hyperlink" Target="https://api.investi.com.au/api/announcements/mgt/b65c1415-9fc.pdf?utm" TargetMode="External"/><Relationship Id="rId403" Type="http://schemas.openxmlformats.org/officeDocument/2006/relationships/hyperlink" Target="https://www.epa.wa.gov.au/proposals/balla-balla-magnetite-mining-project-s46-2224" TargetMode="External"/><Relationship Id="rId6" Type="http://schemas.openxmlformats.org/officeDocument/2006/relationships/hyperlink" Target="https://announcements.asx.com.au/asxpdf/20150219/pdf/42wqg926pgxhhf.pdf" TargetMode="External"/><Relationship Id="rId238" Type="http://schemas.openxmlformats.org/officeDocument/2006/relationships/hyperlink" Target="https://www.grangeresources.com.au/" TargetMode="External"/><Relationship Id="rId445" Type="http://schemas.openxmlformats.org/officeDocument/2006/relationships/hyperlink" Target="https://mindax.com.au/" TargetMode="External"/><Relationship Id="rId487" Type="http://schemas.openxmlformats.org/officeDocument/2006/relationships/hyperlink" Target="https://investorhub.tempestminerals.com/announcements/6951864" TargetMode="External"/><Relationship Id="rId291" Type="http://schemas.openxmlformats.org/officeDocument/2006/relationships/hyperlink" Target="https://www.aspecthuntley.com.au/asxdata/20110704/pdf/01194592.pdf" TargetMode="External"/><Relationship Id="rId305" Type="http://schemas.openxmlformats.org/officeDocument/2006/relationships/hyperlink" Target="https://sunmirror.net/pdfs/23_Nov-Al_Maynard-Cape_Lambert_Royalty.pdf" TargetMode="External"/><Relationship Id="rId347" Type="http://schemas.openxmlformats.org/officeDocument/2006/relationships/hyperlink" Target="https://minerals.sarig.sa.gov.au/MineralDepositDetails.aspx?DEPOSIT_NO=7248&amp;ref=1" TargetMode="External"/><Relationship Id="rId44" Type="http://schemas.openxmlformats.org/officeDocument/2006/relationships/hyperlink" Target="https://minedex.dmirs.wa.gov.au/Web/sites/details/60d3f46b-f002-4986-b817-890981b1ece0" TargetMode="External"/><Relationship Id="rId86" Type="http://schemas.openxmlformats.org/officeDocument/2006/relationships/hyperlink" Target="https://wcsecure.weblink.com.au/pdf/HIO/02820097.pdf" TargetMode="External"/><Relationship Id="rId151" Type="http://schemas.openxmlformats.org/officeDocument/2006/relationships/hyperlink" Target="https://www.kararamining.com.au/mining/" TargetMode="External"/><Relationship Id="rId389" Type="http://schemas.openxmlformats.org/officeDocument/2006/relationships/hyperlink" Target="https://invest.sa.gov.au/projects/lodestone-mines-olary-flats-project?utm" TargetMode="External"/><Relationship Id="rId193" Type="http://schemas.openxmlformats.org/officeDocument/2006/relationships/hyperlink" Target="https://athenaresources.com.au/byro-industrial-metals/" TargetMode="External"/><Relationship Id="rId207" Type="http://schemas.openxmlformats.org/officeDocument/2006/relationships/hyperlink" Target="https://lincolnminerals.com.au/" TargetMode="External"/><Relationship Id="rId249" Type="http://schemas.openxmlformats.org/officeDocument/2006/relationships/hyperlink" Target="https://karawara.com.au/" TargetMode="External"/><Relationship Id="rId414" Type="http://schemas.openxmlformats.org/officeDocument/2006/relationships/hyperlink" Target="https://cashmereiron.com/" TargetMode="External"/><Relationship Id="rId456" Type="http://schemas.openxmlformats.org/officeDocument/2006/relationships/hyperlink" Target="https://sites.google.com/ieefa.org/no-link-available/home" TargetMode="External"/><Relationship Id="rId498" Type="http://schemas.openxmlformats.org/officeDocument/2006/relationships/hyperlink" Target="https://sites.google.com/ieefa.org/no-link-available/home" TargetMode="External"/><Relationship Id="rId13" Type="http://schemas.openxmlformats.org/officeDocument/2006/relationships/hyperlink" Target="https://www.aspecthuntley.com.au/asxdata/20110704/pdf/01194592.pdf" TargetMode="External"/><Relationship Id="rId109" Type="http://schemas.openxmlformats.org/officeDocument/2006/relationships/hyperlink" Target="https://drillhole.pir.sa.gov.au/MineralDepositDetails.aspx" TargetMode="External"/><Relationship Id="rId260" Type="http://schemas.openxmlformats.org/officeDocument/2006/relationships/hyperlink" Target="https://www.northern-iron.com.au/projects" TargetMode="External"/><Relationship Id="rId316" Type="http://schemas.openxmlformats.org/officeDocument/2006/relationships/hyperlink" Target="https://www.energymining.sa.gov.au/industry/geological-survey/gssa-projects/magnetite-south-australia" TargetMode="External"/><Relationship Id="rId55" Type="http://schemas.openxmlformats.org/officeDocument/2006/relationships/hyperlink" Target="https://www.aspecthuntley.com.au/asxdata/20080205/pdf/00809572.pdf" TargetMode="External"/><Relationship Id="rId97" Type="http://schemas.openxmlformats.org/officeDocument/2006/relationships/hyperlink" Target="https://wcsecure.weblink.com.au/pdf/LML/02787328.pdf" TargetMode="External"/><Relationship Id="rId120" Type="http://schemas.openxmlformats.org/officeDocument/2006/relationships/hyperlink" Target="https://www.aspecthuntley.com.au/asxdata/20210726/pdf/02398977.pdf" TargetMode="External"/><Relationship Id="rId358" Type="http://schemas.openxmlformats.org/officeDocument/2006/relationships/hyperlink" Target="https://minerals.sarig.sa.gov.au/MineralDepositDetails.aspx?DEPOSIT_NO=9044&amp;ref=1" TargetMode="External"/><Relationship Id="rId162" Type="http://schemas.openxmlformats.org/officeDocument/2006/relationships/hyperlink" Target="https://www.aspecthuntley.com.au/asxdata/20121004/pdf/01340154.pdf" TargetMode="External"/><Relationship Id="rId218" Type="http://schemas.openxmlformats.org/officeDocument/2006/relationships/hyperlink" Target="https://wcsecure.weblink.com.au/pdf/LML/02787328.pdf" TargetMode="External"/><Relationship Id="rId425" Type="http://schemas.openxmlformats.org/officeDocument/2006/relationships/hyperlink" Target="https://karawara.com.au/wp-content/uploads/2024/05/Broula-Mine-Annual-Report-17-May-2024.pdf" TargetMode="External"/><Relationship Id="rId467" Type="http://schemas.openxmlformats.org/officeDocument/2006/relationships/hyperlink" Target="https://sites.google.com/ieefa.org/no-link-available/home" TargetMode="External"/><Relationship Id="rId271" Type="http://schemas.openxmlformats.org/officeDocument/2006/relationships/hyperlink" Target="https://announcements.asx.com.au/asxpdf/20120607/pdf/426q70ddjcq4ds.pdf" TargetMode="External"/><Relationship Id="rId24" Type="http://schemas.openxmlformats.org/officeDocument/2006/relationships/hyperlink" Target="https://minedocs.com/28/Hawthorn-Resources-Ltd-MRE-07012024.pdf" TargetMode="External"/><Relationship Id="rId66" Type="http://schemas.openxmlformats.org/officeDocument/2006/relationships/hyperlink" Target="https://minedex.dmirs.wa.gov.au/Web/projects/details/a5903260-60bc-42d2-8fc2-10aec8692a73" TargetMode="External"/><Relationship Id="rId131" Type="http://schemas.openxmlformats.org/officeDocument/2006/relationships/hyperlink" Target="https://www.fortescue.com/en" TargetMode="External"/><Relationship Id="rId327" Type="http://schemas.openxmlformats.org/officeDocument/2006/relationships/hyperlink" Target="https://announcements.asx.com.au/asxpdf/20110810/pdf/4209rryvyhtp9n.pdf" TargetMode="External"/><Relationship Id="rId369" Type="http://schemas.openxmlformats.org/officeDocument/2006/relationships/hyperlink" Target="https://minerals.sarig.sa.gov.au/MineralDepositDetails.aspx?DEPOSIT_NO=249&amp;ref=1" TargetMode="External"/><Relationship Id="rId173" Type="http://schemas.openxmlformats.org/officeDocument/2006/relationships/hyperlink" Target="https://cdn-api.markitdigital.com/apiman-gateway/ASX/asx-research/1.0/file/2995-01734869-6A761286?access_token=83ff96335c2d45a094df02a206a39ff4" TargetMode="External"/><Relationship Id="rId229" Type="http://schemas.openxmlformats.org/officeDocument/2006/relationships/hyperlink" Target="https://announcements.asx.com.au/asxpdf/20150918/pdf/431f68b3p86hln.pdf" TargetMode="External"/><Relationship Id="rId380" Type="http://schemas.openxmlformats.org/officeDocument/2006/relationships/hyperlink" Target="https://wcsecure.weblink.com.au/pdf/LML/02859106.pdf" TargetMode="External"/><Relationship Id="rId436" Type="http://schemas.openxmlformats.org/officeDocument/2006/relationships/hyperlink" Target="https://www.ironroadlimited.com.au/" TargetMode="External"/><Relationship Id="rId240" Type="http://schemas.openxmlformats.org/officeDocument/2006/relationships/hyperlink" Target="https://fijv.au/yogi-magnetite-mine/f/fijv-has-signed-an-mou-with-green-iron-and-steel-australia" TargetMode="External"/><Relationship Id="rId478" Type="http://schemas.openxmlformats.org/officeDocument/2006/relationships/hyperlink" Target="https://sites.google.com/ieefa.org/no-link-available/home" TargetMode="External"/><Relationship Id="rId35" Type="http://schemas.openxmlformats.org/officeDocument/2006/relationships/hyperlink" Target="https://aust-sino.com/files/files/987_220._Telecom_Hill_Mineral_Resource_Estimate_Update_-_04Apr2022.pdf" TargetMode="External"/><Relationship Id="rId77" Type="http://schemas.openxmlformats.org/officeDocument/2006/relationships/hyperlink" Target="https://minedex.dmirs.wa.gov.au/Web/sites/details/6f4cc4c5-ec43-4d7f-87f3-a704a5b02ccb" TargetMode="External"/><Relationship Id="rId100" Type="http://schemas.openxmlformats.org/officeDocument/2006/relationships/hyperlink" Target="https://www.aspecthuntley.com.au/asxdata/20130308/pdf/01389842.pdf" TargetMode="External"/><Relationship Id="rId282" Type="http://schemas.openxmlformats.org/officeDocument/2006/relationships/hyperlink" Target="https://wcsecure.weblink.com.au/pdf/ZNC/01644858.pdf" TargetMode="External"/><Relationship Id="rId338" Type="http://schemas.openxmlformats.org/officeDocument/2006/relationships/hyperlink" Target="https://speedwaymagnetite.weebly.com/jorc-resource.html" TargetMode="External"/><Relationship Id="rId503" Type="http://schemas.openxmlformats.org/officeDocument/2006/relationships/hyperlink" Target="https://sites.google.com/ieefa.org/no-link-available/home" TargetMode="External"/><Relationship Id="rId8" Type="http://schemas.openxmlformats.org/officeDocument/2006/relationships/hyperlink" Target="https://www.citic.com/uploadfile/2017/0525/20170525095412682.pdf" TargetMode="External"/><Relationship Id="rId142" Type="http://schemas.openxmlformats.org/officeDocument/2006/relationships/hyperlink" Target="https://www.magnetitemines.com/" TargetMode="External"/><Relationship Id="rId184" Type="http://schemas.openxmlformats.org/officeDocument/2006/relationships/hyperlink" Target="https://announcements.asx.com.au/asxpdf/20190424/pdf/444hwnkwc2t046.pdf" TargetMode="External"/><Relationship Id="rId391" Type="http://schemas.openxmlformats.org/officeDocument/2006/relationships/hyperlink" Target="https://invest.sa.gov.au/projects/maldorky-iron-ore-project?utm" TargetMode="External"/><Relationship Id="rId405" Type="http://schemas.openxmlformats.org/officeDocument/2006/relationships/hyperlink" Target="https://lodestoneiron.com.au/" TargetMode="External"/><Relationship Id="rId447" Type="http://schemas.openxmlformats.org/officeDocument/2006/relationships/hyperlink" Target="https://mindax.com.au/projects/mid-west-shared-infrastructure-project?utm" TargetMode="External"/><Relationship Id="rId251" Type="http://schemas.openxmlformats.org/officeDocument/2006/relationships/hyperlink" Target="https://www.agilemining.com.au/services" TargetMode="External"/><Relationship Id="rId489" Type="http://schemas.openxmlformats.org/officeDocument/2006/relationships/hyperlink" Target="https://www.leic.com.au/projects/project-timeline.aspx?" TargetMode="External"/><Relationship Id="rId46" Type="http://schemas.openxmlformats.org/officeDocument/2006/relationships/hyperlink" Target="https://www.aspecthuntley.com.au/asxdata/20170418/pdf/01848360.pdf" TargetMode="External"/><Relationship Id="rId293" Type="http://schemas.openxmlformats.org/officeDocument/2006/relationships/hyperlink" Target="https://www.energymining.sa.gov.au/industry/geological-survey/gssa-projects/magnetite-south-australia" TargetMode="External"/><Relationship Id="rId307" Type="http://schemas.openxmlformats.org/officeDocument/2006/relationships/hyperlink" Target="https://cdn-api.markitdigital.com/apiman-gateway/ASX/asx-research/1.0/file/2995-01345668-3A380774&amp;v=04711220c3a57065317ba4efca4a3459a4e46882" TargetMode="External"/><Relationship Id="rId349" Type="http://schemas.openxmlformats.org/officeDocument/2006/relationships/hyperlink" Target="https://minerals.sarig.sa.gov.au/MineralDepositDetails.aspx?DEPOSIT_NO=8294&amp;ref=1" TargetMode="External"/><Relationship Id="rId88" Type="http://schemas.openxmlformats.org/officeDocument/2006/relationships/hyperlink" Target="https://www.aspecthuntley.com.au/asxdata/20220913/pdf/02567419.pdf" TargetMode="External"/><Relationship Id="rId111" Type="http://schemas.openxmlformats.org/officeDocument/2006/relationships/hyperlink" Target="https://epa.tas.gov.au/Documents/Shree%20Minerals%20Ltd,%20Nelson%20Bay%20River%20Mine,%20Northwest%20Tasmania%20-%20Proposal%20Description.pdf" TargetMode="External"/><Relationship Id="rId153" Type="http://schemas.openxmlformats.org/officeDocument/2006/relationships/hyperlink" Target="https://www.junominerals.com.au/projects/mount-ida-magnetite-project" TargetMode="External"/><Relationship Id="rId195" Type="http://schemas.openxmlformats.org/officeDocument/2006/relationships/hyperlink" Target="https://minedex.dmirs.wa.gov.au/Web/resource-estimates/details/site/951805f3-e76b-af7a-a423-431abfef12d1" TargetMode="External"/><Relationship Id="rId209" Type="http://schemas.openxmlformats.org/officeDocument/2006/relationships/hyperlink" Target="https://lincolnminerals.com.au/projects/green-iron-magnetite-project/" TargetMode="External"/><Relationship Id="rId360" Type="http://schemas.openxmlformats.org/officeDocument/2006/relationships/hyperlink" Target="https://minerals.sarig.sa.gov.au/MineralDepositDetails.aspx?DEPOSIT_NO=752&amp;ref=1" TargetMode="External"/><Relationship Id="rId416" Type="http://schemas.openxmlformats.org/officeDocument/2006/relationships/hyperlink" Target="https://clients2.weblink.com.au/news/pdf_1%5C02967070.pdf" TargetMode="External"/><Relationship Id="rId220" Type="http://schemas.openxmlformats.org/officeDocument/2006/relationships/hyperlink" Target="https://wcsecure.weblink.com.au/pdf/LML/02787328.pdf" TargetMode="External"/><Relationship Id="rId458" Type="http://schemas.openxmlformats.org/officeDocument/2006/relationships/hyperlink" Target="https://sites.google.com/ieefa.org/no-link-available/home" TargetMode="External"/><Relationship Id="rId15" Type="http://schemas.openxmlformats.org/officeDocument/2006/relationships/hyperlink" Target="https://announcements.asx.com.au/asxpdf/20120813/pdf/42801b1wchth70.pdf" TargetMode="External"/><Relationship Id="rId57" Type="http://schemas.openxmlformats.org/officeDocument/2006/relationships/hyperlink" Target="https://minedex.dmirs.wa.gov.au/Web/projects/details/4589687e-adab-4466-a661-bd0a0d0f43df" TargetMode="External"/><Relationship Id="rId262" Type="http://schemas.openxmlformats.org/officeDocument/2006/relationships/hyperlink" Target="https://legacyiron.com.au/projects/mt-bevan/" TargetMode="External"/><Relationship Id="rId318" Type="http://schemas.openxmlformats.org/officeDocument/2006/relationships/hyperlink" Target="https://company-announcements.afr.com/asx/acs/7e8f67eb-005e-11f0-9dde-fa1e67b8f469.pdf" TargetMode="External"/><Relationship Id="rId99" Type="http://schemas.openxmlformats.org/officeDocument/2006/relationships/hyperlink" Target="https://wcsecure.weblink.com.au/pdf/LML/02859106.pdf" TargetMode="External"/><Relationship Id="rId122" Type="http://schemas.openxmlformats.org/officeDocument/2006/relationships/hyperlink" Target="https://wcsecure.weblink.com.au/pdf/CZR/02860241.pdf" TargetMode="External"/><Relationship Id="rId164" Type="http://schemas.openxmlformats.org/officeDocument/2006/relationships/hyperlink" Target="https://www.aspecthuntley.com.au/asxdata/20111108/pdf/01238683.pdf" TargetMode="External"/><Relationship Id="rId371" Type="http://schemas.openxmlformats.org/officeDocument/2006/relationships/hyperlink" Target="https://minerals.sarig.sa.gov.au/MineralDepositDetails.aspx?DEPOSIT_NO=3012&amp;ref=1" TargetMode="External"/><Relationship Id="rId427" Type="http://schemas.openxmlformats.org/officeDocument/2006/relationships/hyperlink" Target="https://www.epa.wa.gov.au/sites/default/files/PER_documentation/A1677_R1340_PER_Appendix%20A%20PEMP%20081219.pdf" TargetMode="External"/><Relationship Id="rId469" Type="http://schemas.openxmlformats.org/officeDocument/2006/relationships/hyperlink" Target="https://sites.google.com/ieefa.org/no-link-available/home" TargetMode="External"/><Relationship Id="rId26" Type="http://schemas.openxmlformats.org/officeDocument/2006/relationships/hyperlink" Target="https://minedex.dmirs.wa.gov.au/Web/projects/details/378a4b19-2ad7-4953-8503-4d35b3e436da" TargetMode="External"/><Relationship Id="rId231" Type="http://schemas.openxmlformats.org/officeDocument/2006/relationships/hyperlink" Target="https://oscarresources.com.au/page/mt_oscar_iron_ore_project.html?" TargetMode="External"/><Relationship Id="rId273" Type="http://schemas.openxmlformats.org/officeDocument/2006/relationships/hyperlink" Target="https://elmoreltd.com.au/projects/" TargetMode="External"/><Relationship Id="rId329" Type="http://schemas.openxmlformats.org/officeDocument/2006/relationships/hyperlink" Target="https://minedex.dmirs.wa.gov.au/Web/projects/details/b07edb60-390e-44de-aa80-0a1f772ab7e7" TargetMode="External"/><Relationship Id="rId480" Type="http://schemas.openxmlformats.org/officeDocument/2006/relationships/hyperlink" Target="https://sites.google.com/ieefa.org/no-link-available/home" TargetMode="External"/><Relationship Id="rId68" Type="http://schemas.openxmlformats.org/officeDocument/2006/relationships/hyperlink" Target="https://wcsecure.weblink.com.au/pdf/BUR/02392963.pdf" TargetMode="External"/><Relationship Id="rId133" Type="http://schemas.openxmlformats.org/officeDocument/2006/relationships/hyperlink" Target="https://minedex.dmirs.wa.gov.au/Web/sites/details/67a0a806-a813-494d-a5c9-4e09fa8a709d" TargetMode="External"/><Relationship Id="rId175" Type="http://schemas.openxmlformats.org/officeDocument/2006/relationships/hyperlink" Target="https://fijv.au/" TargetMode="External"/><Relationship Id="rId340" Type="http://schemas.openxmlformats.org/officeDocument/2006/relationships/hyperlink" Target="https://speedwaymagnetite.weebly.com/" TargetMode="External"/><Relationship Id="rId200" Type="http://schemas.openxmlformats.org/officeDocument/2006/relationships/hyperlink" Target="https://lincolnminerals.com.au/" TargetMode="External"/><Relationship Id="rId382" Type="http://schemas.openxmlformats.org/officeDocument/2006/relationships/hyperlink" Target="https://wcsecure.weblink.com.au/pdf/LML/02859106.pdf" TargetMode="External"/><Relationship Id="rId438" Type="http://schemas.openxmlformats.org/officeDocument/2006/relationships/hyperlink" Target="https://wcsecure.weblink.com.au/pdf/IRD/02079052.pdf" TargetMode="External"/><Relationship Id="rId242" Type="http://schemas.openxmlformats.org/officeDocument/2006/relationships/hyperlink" Target="https://elmoreltd.com.au/" TargetMode="External"/><Relationship Id="rId284" Type="http://schemas.openxmlformats.org/officeDocument/2006/relationships/hyperlink" Target="https://www.aspecthuntley.com.au/asxdata/20120604/pdf/01302731.pdf" TargetMode="External"/><Relationship Id="rId491" Type="http://schemas.openxmlformats.org/officeDocument/2006/relationships/hyperlink" Target="https://www.mtalexanderironore.com.au/" TargetMode="External"/><Relationship Id="rId505" Type="http://schemas.openxmlformats.org/officeDocument/2006/relationships/printerSettings" Target="../printerSettings/printerSettings2.bin"/><Relationship Id="rId37" Type="http://schemas.openxmlformats.org/officeDocument/2006/relationships/hyperlink" Target="https://www.aspecthuntley.com.au/asxdata/20090414/pdf/00943689.pdf" TargetMode="External"/><Relationship Id="rId79" Type="http://schemas.openxmlformats.org/officeDocument/2006/relationships/hyperlink" Target="https://www.listcorp.com/asx/ahn/athena-resources-limited/news/scoping-study-byro-fe1-magnetite-project-3033683.html" TargetMode="External"/><Relationship Id="rId102" Type="http://schemas.openxmlformats.org/officeDocument/2006/relationships/hyperlink" Target="https://www.energymining.sa.gov.au/industry/geological-survey/gssa-projects/magnetite-south-australia" TargetMode="External"/><Relationship Id="rId144" Type="http://schemas.openxmlformats.org/officeDocument/2006/relationships/hyperlink" Target="https://www.magnetitemines.com/" TargetMode="External"/><Relationship Id="rId90" Type="http://schemas.openxmlformats.org/officeDocument/2006/relationships/hyperlink" Target="https://announcements.asx.com.au/asxpdf/20110411/pdf/41xzkmkwm6grmn.pdf" TargetMode="External"/><Relationship Id="rId186" Type="http://schemas.openxmlformats.org/officeDocument/2006/relationships/hyperlink" Target="https://cqmetals.com.au/" TargetMode="External"/><Relationship Id="rId351" Type="http://schemas.openxmlformats.org/officeDocument/2006/relationships/hyperlink" Target="https://minerals.sarig.sa.gov.au/MineralDepositDetails.aspx?DEPOSIT_NO=8743&amp;ref=1" TargetMode="External"/><Relationship Id="rId393" Type="http://schemas.openxmlformats.org/officeDocument/2006/relationships/hyperlink" Target="https://announcements.asx.com.au/asxpdf/20121205/pdf/42bqznjy47lpjp.pdf" TargetMode="External"/><Relationship Id="rId407" Type="http://schemas.openxmlformats.org/officeDocument/2006/relationships/hyperlink" Target="https://macarthurminerals.com/wp-content/uploads/2022/03/NR-Mineral-Reserve-Statement_Final_TSXV-15-March-2022.pdf" TargetMode="External"/><Relationship Id="rId449" Type="http://schemas.openxmlformats.org/officeDocument/2006/relationships/hyperlink" Target="https://sites.google.com/ieefa.org/no-link-available/home" TargetMode="External"/><Relationship Id="rId211" Type="http://schemas.openxmlformats.org/officeDocument/2006/relationships/hyperlink" Target="https://lincolnminerals.com.au/projects/green-iron-magnetite-project/" TargetMode="External"/><Relationship Id="rId253" Type="http://schemas.openxmlformats.org/officeDocument/2006/relationships/hyperlink" Target="https://www.tasmines.com.au/about" TargetMode="External"/><Relationship Id="rId295" Type="http://schemas.openxmlformats.org/officeDocument/2006/relationships/hyperlink" Target="https://www.aspecthuntley.com.au/asxdata/20120518/pdf/01298580.pdf" TargetMode="External"/><Relationship Id="rId309" Type="http://schemas.openxmlformats.org/officeDocument/2006/relationships/hyperlink" Target="https://www.energymining.sa.gov.au/industry/geological-survey/gssa-projects/magnetite-south-australia" TargetMode="External"/><Relationship Id="rId460" Type="http://schemas.openxmlformats.org/officeDocument/2006/relationships/hyperlink" Target="https://sites.google.com/ieefa.org/no-link-available/home" TargetMode="External"/><Relationship Id="rId48" Type="http://schemas.openxmlformats.org/officeDocument/2006/relationships/hyperlink" Target="https://minedex.dmirs.wa.gov.au/Web/sites/details/c4f15be1-f515-4a9c-8a08-af901a1f8f20" TargetMode="External"/><Relationship Id="rId113" Type="http://schemas.openxmlformats.org/officeDocument/2006/relationships/hyperlink" Target="https://announcements.asx.com.au/asxpdf/20170216/pdf/43g1pc59hpj6p9.pdf" TargetMode="External"/><Relationship Id="rId320" Type="http://schemas.openxmlformats.org/officeDocument/2006/relationships/hyperlink" Target="https://announcements.asx.com.au/asxpdf/20120130/pdf/42408wvsx98cwx.pdf" TargetMode="External"/><Relationship Id="rId155" Type="http://schemas.openxmlformats.org/officeDocument/2006/relationships/hyperlink" Target="https://www.hanroy.com.au/projects/ridley-magnetite/" TargetMode="External"/><Relationship Id="rId197" Type="http://schemas.openxmlformats.org/officeDocument/2006/relationships/hyperlink" Target="http://www.accentresources.com.au/" TargetMode="External"/><Relationship Id="rId362" Type="http://schemas.openxmlformats.org/officeDocument/2006/relationships/hyperlink" Target="https://minerals.sarig.sa.gov.au/MineralDepositDetails.aspx?DEPOSIT_NO=9465&amp;ref=1" TargetMode="External"/><Relationship Id="rId418" Type="http://schemas.openxmlformats.org/officeDocument/2006/relationships/hyperlink" Target="https://www.aspecthuntley.com.au/asxdata/20200624/pdf/02247581.pdf" TargetMode="External"/><Relationship Id="rId222" Type="http://schemas.openxmlformats.org/officeDocument/2006/relationships/hyperlink" Target="https://announcements.asx.com.au/asxpdf/20150918/pdf/431f68b3p86hln.pdf" TargetMode="External"/><Relationship Id="rId264" Type="http://schemas.openxmlformats.org/officeDocument/2006/relationships/hyperlink" Target="https://announcements.asx.com.au/asxpdf/20120713/pdf/427dg2rmmmf732.pdf" TargetMode="External"/><Relationship Id="rId471" Type="http://schemas.openxmlformats.org/officeDocument/2006/relationships/hyperlink" Target="https://sites.google.com/ieefa.org/no-link-available/home" TargetMode="External"/><Relationship Id="rId17" Type="http://schemas.openxmlformats.org/officeDocument/2006/relationships/hyperlink" Target="https://announcements.asx.com.au/asxpdf/20120713/pdf/427dg2rmmmf732.pdf" TargetMode="External"/><Relationship Id="rId59" Type="http://schemas.openxmlformats.org/officeDocument/2006/relationships/hyperlink" Target="https://www.listcorp.com/asx/acs/accent-resources/news/magnetite-range-mineral-resource-update-2997134.html" TargetMode="External"/><Relationship Id="rId124" Type="http://schemas.openxmlformats.org/officeDocument/2006/relationships/hyperlink" Target="https://citicpacificmining.com/" TargetMode="External"/><Relationship Id="rId70" Type="http://schemas.openxmlformats.org/officeDocument/2006/relationships/hyperlink" Target="https://www.aspecthuntley.com.au/asxdata/20110704/pdf/01194592.pdf" TargetMode="External"/><Relationship Id="rId166" Type="http://schemas.openxmlformats.org/officeDocument/2006/relationships/hyperlink" Target="https://www.lodestonemines.com/" TargetMode="External"/><Relationship Id="rId331" Type="http://schemas.openxmlformats.org/officeDocument/2006/relationships/hyperlink" Target="https://wcsecure.weblink.com.au/pdf/VKA/02741882.pdf" TargetMode="External"/><Relationship Id="rId373" Type="http://schemas.openxmlformats.org/officeDocument/2006/relationships/hyperlink" Target="https://allianceresources.com.au/" TargetMode="External"/><Relationship Id="rId429" Type="http://schemas.openxmlformats.org/officeDocument/2006/relationships/hyperlink" Target="https://macarthurminerals.com/wp-content/uploads/2022/04/LGIO1-EN-00000-G-R-9006-1.pdf" TargetMode="External"/><Relationship Id="rId1" Type="http://schemas.openxmlformats.org/officeDocument/2006/relationships/hyperlink" Target="https://grange.blob.core.windows.net/public/4370fe56-65a1-400e-8f72-58ed89e6bb98.pdf" TargetMode="External"/><Relationship Id="rId233" Type="http://schemas.openxmlformats.org/officeDocument/2006/relationships/hyperlink" Target="https://www.surefireresources.com.au/" TargetMode="External"/><Relationship Id="rId440" Type="http://schemas.openxmlformats.org/officeDocument/2006/relationships/hyperlink" Target="https://minerals.sarig.sa.gov.au/MineralDepositDetails.aspx?DEPOSIT_NO=4902&amp;ref=1" TargetMode="External"/><Relationship Id="rId28" Type="http://schemas.openxmlformats.org/officeDocument/2006/relationships/hyperlink" Target="https://minedex.dmirs.wa.gov.au/Web/projects/details/79f7c36c-dc97-4c68-b883-f142a6144565" TargetMode="External"/><Relationship Id="rId275" Type="http://schemas.openxmlformats.org/officeDocument/2006/relationships/hyperlink" Target="https://www.aspecthuntley.com.au/asxdata/20090414/pdf/00943689.pdf" TargetMode="External"/><Relationship Id="rId300" Type="http://schemas.openxmlformats.org/officeDocument/2006/relationships/hyperlink" Target="https://www.marketindex.com.au/asx/wbt/announcements/maiden-353-mt-magnetite-jorc-resource-for-die-hardy-XX566777" TargetMode="External"/><Relationship Id="rId482" Type="http://schemas.openxmlformats.org/officeDocument/2006/relationships/hyperlink" Target="https://www.mtalexanderironore.com.au/" TargetMode="External"/><Relationship Id="rId81" Type="http://schemas.openxmlformats.org/officeDocument/2006/relationships/hyperlink" Target="https://minedex.dmirs.wa.gov.au/Web/sites/details/f92b2ef4-e5c3-434f-83c7-9b0ed8222e0d" TargetMode="External"/><Relationship Id="rId135" Type="http://schemas.openxmlformats.org/officeDocument/2006/relationships/hyperlink" Target="https://sunmirror.net/projects/cape-lambert/" TargetMode="External"/><Relationship Id="rId177" Type="http://schemas.openxmlformats.org/officeDocument/2006/relationships/hyperlink" Target="https://aust-sino.com/" TargetMode="External"/><Relationship Id="rId342" Type="http://schemas.openxmlformats.org/officeDocument/2006/relationships/hyperlink" Target="https://announcements.asx.com.au/asxpdf/20230929/pdf/05vg8jsdgfxtnp.pdf" TargetMode="External"/><Relationship Id="rId384" Type="http://schemas.openxmlformats.org/officeDocument/2006/relationships/hyperlink" Target="https://wcsecure.weblink.com.au/pdf/LML/02859106.pdf" TargetMode="External"/><Relationship Id="rId202" Type="http://schemas.openxmlformats.org/officeDocument/2006/relationships/hyperlink" Target="https://lincolnminerals.com.au/" TargetMode="External"/><Relationship Id="rId244" Type="http://schemas.openxmlformats.org/officeDocument/2006/relationships/hyperlink" Target="https://announcements.asx.com.au/asxpdf/20100923/pdf/31snyf5cfp0x1v.pdf" TargetMode="External"/><Relationship Id="rId39" Type="http://schemas.openxmlformats.org/officeDocument/2006/relationships/hyperlink" Target="https://www.atlasiron.com.au/atlas-iron-defers-ridley-investment-call-as-onerous-approvals-slow-gina-rineharts-foray-into-magnetite/" TargetMode="External"/><Relationship Id="rId286" Type="http://schemas.openxmlformats.org/officeDocument/2006/relationships/hyperlink" Target="https://www.aspecthuntley.com.au/asxdata/20181019/pdf/02036550.pdf" TargetMode="External"/><Relationship Id="rId451" Type="http://schemas.openxmlformats.org/officeDocument/2006/relationships/hyperlink" Target="https://sites.google.com/ieefa.org/no-link-available/home" TargetMode="External"/><Relationship Id="rId493" Type="http://schemas.openxmlformats.org/officeDocument/2006/relationships/hyperlink" Target="https://sites.google.com/ieefa.org/no-link-available/home" TargetMode="External"/><Relationship Id="rId507" Type="http://schemas.openxmlformats.org/officeDocument/2006/relationships/comments" Target="../comments1.xml"/><Relationship Id="rId50" Type="http://schemas.openxmlformats.org/officeDocument/2006/relationships/hyperlink" Target="https://wcsecure.weblink.com.au/pdf/ZNC/01644858.pdf" TargetMode="External"/><Relationship Id="rId104" Type="http://schemas.openxmlformats.org/officeDocument/2006/relationships/hyperlink" Target="https://www.energymining.sa.gov.au/industry/geological-survey/gssa-projects/magnetite-south-australia" TargetMode="External"/><Relationship Id="rId146" Type="http://schemas.openxmlformats.org/officeDocument/2006/relationships/hyperlink" Target="https://www.magnetitemines.com/muster-dam-iron-ore-project" TargetMode="External"/><Relationship Id="rId188" Type="http://schemas.openxmlformats.org/officeDocument/2006/relationships/hyperlink" Target="https://www.aspecthuntley.com.au/asxdata/20101123/pdf/01123710.pdf" TargetMode="External"/><Relationship Id="rId311" Type="http://schemas.openxmlformats.org/officeDocument/2006/relationships/hyperlink" Target="https://announcements.asx.com.au/asxpdf/20090923/pdf/31kwfdc1y1ffhw.pdf" TargetMode="External"/><Relationship Id="rId353" Type="http://schemas.openxmlformats.org/officeDocument/2006/relationships/hyperlink" Target="https://minerals.sarig.sa.gov.au/MineralDepositDetails.aspx?DEPOSIT_NO=6639&amp;ref=1" TargetMode="External"/><Relationship Id="rId395" Type="http://schemas.openxmlformats.org/officeDocument/2006/relationships/hyperlink" Target="https://invest.sa.gov.au/projects/commonwealth-hill-magnetite-project" TargetMode="External"/><Relationship Id="rId409" Type="http://schemas.openxmlformats.org/officeDocument/2006/relationships/hyperlink" Target="https://smcl.com.au/projects/blue-hills-dso-hematite/" TargetMode="External"/><Relationship Id="rId92" Type="http://schemas.openxmlformats.org/officeDocument/2006/relationships/hyperlink" Target="https://www.marketindex.com.au/asx/tyx/announcements/trf-ironclads-resource-update-at-wicherry-hill-and-hercules-XX433757" TargetMode="External"/><Relationship Id="rId213" Type="http://schemas.openxmlformats.org/officeDocument/2006/relationships/hyperlink" Target="https://lincolnminerals.com.au/projects/green-iron-magnetite-project/" TargetMode="External"/><Relationship Id="rId420" Type="http://schemas.openxmlformats.org/officeDocument/2006/relationships/hyperlink" Target="https://www.listcorp.com/asx/ctn/catalina-resources-ltd/news/nbr-dso-iron-ore-project-permitting-advances-2910424.html" TargetMode="External"/><Relationship Id="rId255" Type="http://schemas.openxmlformats.org/officeDocument/2006/relationships/hyperlink" Target="https://catalinaresources.com.au/" TargetMode="External"/><Relationship Id="rId297" Type="http://schemas.openxmlformats.org/officeDocument/2006/relationships/hyperlink" Target="https://announcements.asx.com.au/asxpdf/20130403/pdf/42f10svxcppwx2.pdf" TargetMode="External"/><Relationship Id="rId462" Type="http://schemas.openxmlformats.org/officeDocument/2006/relationships/hyperlink" Target="https://sites.google.com/ieefa.org/no-link-available/home" TargetMode="External"/><Relationship Id="rId115" Type="http://schemas.openxmlformats.org/officeDocument/2006/relationships/hyperlink" Target="https://grange.blob.core.windows.net/public/4370fe56-65a1-400e-8f72-58ed89e6bb98.pdf" TargetMode="External"/><Relationship Id="rId157" Type="http://schemas.openxmlformats.org/officeDocument/2006/relationships/hyperlink" Target="https://www.grangeresources.com.au/" TargetMode="External"/><Relationship Id="rId322" Type="http://schemas.openxmlformats.org/officeDocument/2006/relationships/hyperlink" Target="https://minedex.dmirs.wa.gov.au/Web/sites/details/33251fcf-cb27-4e0a-92d5-e34cf11cddd8" TargetMode="External"/><Relationship Id="rId364" Type="http://schemas.openxmlformats.org/officeDocument/2006/relationships/hyperlink" Target="https://minerals.sarig.sa.gov.au/MineralDepositDetails.aspx?DEPOSIT_NO=773&amp;ref=1" TargetMode="External"/><Relationship Id="rId61" Type="http://schemas.openxmlformats.org/officeDocument/2006/relationships/hyperlink" Target="https://www.marketindex.com.au/asx/acs/announcements/magnetite-range-project-commencement-of-pfs-6A1265433" TargetMode="External"/><Relationship Id="rId199" Type="http://schemas.openxmlformats.org/officeDocument/2006/relationships/hyperlink" Target="https://gfgalliancewhyalla.com/about-us/mining/" TargetMode="External"/><Relationship Id="rId19" Type="http://schemas.openxmlformats.org/officeDocument/2006/relationships/hyperlink" Target="https://announcements.asx.com.au/asxpdf/20240716/pdf/065m4bxtsd5m3b.pdf" TargetMode="External"/><Relationship Id="rId224" Type="http://schemas.openxmlformats.org/officeDocument/2006/relationships/hyperlink" Target="https://announcements.asx.com.au/asxpdf/20150918/pdf/431f68b3p86hln.pdf" TargetMode="External"/><Relationship Id="rId266" Type="http://schemas.openxmlformats.org/officeDocument/2006/relationships/hyperlink" Target="https://www.northern-iron.com.au/projects" TargetMode="External"/><Relationship Id="rId431" Type="http://schemas.openxmlformats.org/officeDocument/2006/relationships/hyperlink" Target="https://gfgalliancewhyalla.com/about-us/mining/" TargetMode="External"/><Relationship Id="rId473" Type="http://schemas.openxmlformats.org/officeDocument/2006/relationships/hyperlink" Target="https://sites.google.com/ieefa.org/no-link-available/home" TargetMode="External"/><Relationship Id="rId30" Type="http://schemas.openxmlformats.org/officeDocument/2006/relationships/hyperlink" Target="https://cashmereiron.com/wp-content/uploads/2022/10/Cashmere_Iron_-_Global_Iron_Conference.pdf" TargetMode="External"/><Relationship Id="rId126" Type="http://schemas.openxmlformats.org/officeDocument/2006/relationships/hyperlink" Target="https://minedex.dmirs.wa.gov.au/Web/sites/details/5d4cc2c8-f9c9-4791-baf9-45bae3fe04db" TargetMode="External"/><Relationship Id="rId168" Type="http://schemas.openxmlformats.org/officeDocument/2006/relationships/hyperlink" Target="https://www.energymining.sa.gov.au/industry/minerals-and-mining/mineral-commodities/iron-ore" TargetMode="External"/><Relationship Id="rId333" Type="http://schemas.openxmlformats.org/officeDocument/2006/relationships/hyperlink" Target="https://www.marketindex.com.au/asx/ida/announcements/mt-woods-scoping-study-demonstrates-development-potential-XX637657" TargetMode="External"/><Relationship Id="rId72" Type="http://schemas.openxmlformats.org/officeDocument/2006/relationships/hyperlink" Target="https://minedex.dmirs.wa.gov.au/Web/owners/details/1abe5e0c-3aa3-4418-897e-06532803d6b4" TargetMode="External"/><Relationship Id="rId375" Type="http://schemas.openxmlformats.org/officeDocument/2006/relationships/hyperlink" Target="https://www.aspecthuntley.com.au/asxdata/20201119/pdf/02310800.pdf" TargetMode="External"/><Relationship Id="rId3" Type="http://schemas.openxmlformats.org/officeDocument/2006/relationships/hyperlink" Target="https://announcements.asx.com.au/asxpdf/20120130/pdf/42408wvsx98cwx.pdf" TargetMode="External"/><Relationship Id="rId235" Type="http://schemas.openxmlformats.org/officeDocument/2006/relationships/hyperlink" Target="https://burleyminerals.com.au/projects/western-australia-australia/yerecoin-iron-project/" TargetMode="External"/><Relationship Id="rId277" Type="http://schemas.openxmlformats.org/officeDocument/2006/relationships/hyperlink" Target="https://www.lodestonemines.com/_files/ugd/22b2ca_5c2031f2e1204b5e8a6b05855fe3e0c9.pdf" TargetMode="External"/><Relationship Id="rId400" Type="http://schemas.openxmlformats.org/officeDocument/2006/relationships/hyperlink" Target="https://oscarmetals.com.au/page/mt_oscar_iron_ore_project.html?utm" TargetMode="External"/><Relationship Id="rId442" Type="http://schemas.openxmlformats.org/officeDocument/2006/relationships/hyperlink" Target="https://mindax.com.au/upload/documents/investors/asx-announcements/20230929_6A1151719_MDXa.pdf" TargetMode="External"/><Relationship Id="rId484" Type="http://schemas.openxmlformats.org/officeDocument/2006/relationships/hyperlink" Target="https://tempestminerals.com/" TargetMode="External"/><Relationship Id="rId137" Type="http://schemas.openxmlformats.org/officeDocument/2006/relationships/hyperlink" Target="https://sunmirror.net/pdfs/23_Nov-Al_Maynard-Cape_Lambert_Royalty.pdf" TargetMode="External"/><Relationship Id="rId302" Type="http://schemas.openxmlformats.org/officeDocument/2006/relationships/hyperlink" Target="https://app.sharelinktechnologies.com/announcement/asx/674f0a9efc29d6c5242d795adedaed1c" TargetMode="External"/><Relationship Id="rId344" Type="http://schemas.openxmlformats.org/officeDocument/2006/relationships/hyperlink" Target="https://www.listcorp.com/asx/grr/grange-resources/news/southdown-pfs-results-and-resource-and-amp-reserve-statement-3177990.html" TargetMode="External"/><Relationship Id="rId41" Type="http://schemas.openxmlformats.org/officeDocument/2006/relationships/hyperlink" Target="https://www.aspecthuntley.com.au/asxdata/20120222/pdf/01271121.pdf" TargetMode="External"/><Relationship Id="rId83" Type="http://schemas.openxmlformats.org/officeDocument/2006/relationships/hyperlink" Target="https://announcements.asx.com.au/asxpdf/20131011/pdf/42jzhm5mf7qssv.pdf" TargetMode="External"/><Relationship Id="rId179" Type="http://schemas.openxmlformats.org/officeDocument/2006/relationships/hyperlink" Target="https://www.havilah-resources.com.au/" TargetMode="External"/><Relationship Id="rId386" Type="http://schemas.openxmlformats.org/officeDocument/2006/relationships/hyperlink" Target="https://wcsecure.weblink.com.au/pdf/LML/02859106.pdf" TargetMode="External"/><Relationship Id="rId190" Type="http://schemas.openxmlformats.org/officeDocument/2006/relationships/hyperlink" Target="https://easternresources.com.au/projects/nowa-nowa-iron/" TargetMode="External"/><Relationship Id="rId204" Type="http://schemas.openxmlformats.org/officeDocument/2006/relationships/hyperlink" Target="https://lincolnminerals.com.au/" TargetMode="External"/><Relationship Id="rId246" Type="http://schemas.openxmlformats.org/officeDocument/2006/relationships/hyperlink" Target="https://smcl.com.au/" TargetMode="External"/><Relationship Id="rId288" Type="http://schemas.openxmlformats.org/officeDocument/2006/relationships/hyperlink" Target="https://www.energymining.sa.gov.au/industry/geological-survey/gssa-projects/magnetite-south-australia" TargetMode="External"/><Relationship Id="rId411" Type="http://schemas.openxmlformats.org/officeDocument/2006/relationships/hyperlink" Target="https://www.epa.wa.gov.au/proposals/mount-gibson-iron-ore-mine-and-infrastructure-project" TargetMode="External"/><Relationship Id="rId453" Type="http://schemas.openxmlformats.org/officeDocument/2006/relationships/hyperlink" Target="https://sites.google.com/ieefa.org/no-link-available/home" TargetMode="External"/><Relationship Id="rId106" Type="http://schemas.openxmlformats.org/officeDocument/2006/relationships/hyperlink" Target="https://www.energymining.sa.gov.au/industry/geological-survey/gssa-projects/magnetite-south-australia" TargetMode="External"/><Relationship Id="rId313" Type="http://schemas.openxmlformats.org/officeDocument/2006/relationships/hyperlink" Target="https://cdn-api.markitdigital.com/apiman-gateway/ASX/asx-research/1.0/file/2995-01734869-6A761286?access_token=83ff96335c2d45a094df02a206a39ff4" TargetMode="External"/><Relationship Id="rId495" Type="http://schemas.openxmlformats.org/officeDocument/2006/relationships/hyperlink" Target="https://sites.google.com/ieefa.org/no-link-available/home" TargetMode="External"/><Relationship Id="rId10" Type="http://schemas.openxmlformats.org/officeDocument/2006/relationships/hyperlink" Target="https://www.resources.nsw.gov.au/sites/default/files/2022-11/magnetite.pdf" TargetMode="External"/><Relationship Id="rId52" Type="http://schemas.openxmlformats.org/officeDocument/2006/relationships/hyperlink" Target="https://app.sharelinktechnologies.com/announcement/asx/23a44d6de85eed8fc12ff6a56a343ef9" TargetMode="External"/><Relationship Id="rId94" Type="http://schemas.openxmlformats.org/officeDocument/2006/relationships/hyperlink" Target="https://wcsecure.weblink.com.au/pdf/LML/02787328.pdf" TargetMode="External"/><Relationship Id="rId148" Type="http://schemas.openxmlformats.org/officeDocument/2006/relationships/hyperlink" Target="https://company-announcements.afr.com/asx/mgt/388fcf20-5548-11f0-ab50-fa3dfe1111bc.pdf" TargetMode="External"/><Relationship Id="rId355" Type="http://schemas.openxmlformats.org/officeDocument/2006/relationships/hyperlink" Target="https://minerals.sarig.sa.gov.au/MineralDepositDetails.aspx?DEPOSIT_NO=5006&amp;ref=1" TargetMode="External"/><Relationship Id="rId397" Type="http://schemas.openxmlformats.org/officeDocument/2006/relationships/hyperlink" Target="https://www.surefireresources.com.au/wp-content/uploads/2021/05/SRN-2021-06-22-ASX-Release-Scoping-Study-Confirms-Potential.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mauritanidesmr.com/sponsors/el-aouj-mining-company" TargetMode="External"/><Relationship Id="rId21" Type="http://schemas.openxmlformats.org/officeDocument/2006/relationships/hyperlink" Target="https://lhgmining.com.br/en/" TargetMode="External"/><Relationship Id="rId42" Type="http://schemas.openxmlformats.org/officeDocument/2006/relationships/hyperlink" Target="https://www.genmingroup.com/mining/baniaka/" TargetMode="External"/><Relationship Id="rId63" Type="http://schemas.openxmlformats.org/officeDocument/2006/relationships/hyperlink" Target="https://ivanhoeatlantic.com/guinea/" TargetMode="External"/><Relationship Id="rId84" Type="http://schemas.openxmlformats.org/officeDocument/2006/relationships/hyperlink" Target="https://www.centaurus.com.au/site/pdf/d1756a00-61f8-42ab-976b-95e3740a3f3c/Rule-Symposium-Presentation-July-2025.pdf?Platform=ListPage" TargetMode="External"/><Relationship Id="rId138" Type="http://schemas.openxmlformats.org/officeDocument/2006/relationships/hyperlink" Target="https://www.angloamerican.com/~/media/Files/A/Anglo-American-Group-v9/PLC/investors/annual-reporting/2024/anglo-american-ore-reserves-and-mineral-resources-report-2024.pdf" TargetMode="External"/><Relationship Id="rId159" Type="http://schemas.openxmlformats.org/officeDocument/2006/relationships/hyperlink" Target="https://metinvestholding.com/" TargetMode="External"/><Relationship Id="rId170" Type="http://schemas.openxmlformats.org/officeDocument/2006/relationships/hyperlink" Target="https://beowulfmining.com/projects/sweden/kallak/" TargetMode="External"/><Relationship Id="rId191" Type="http://schemas.openxmlformats.org/officeDocument/2006/relationships/hyperlink" Target="https://ri.samarco.com/en/" TargetMode="External"/><Relationship Id="rId205" Type="http://schemas.openxmlformats.org/officeDocument/2006/relationships/hyperlink" Target="https://wcsecure.weblink.com.au/pdf/HIO/02820097.pdf" TargetMode="External"/><Relationship Id="rId226" Type="http://schemas.openxmlformats.org/officeDocument/2006/relationships/hyperlink" Target="https://announcements.asx.com.au/asxpdf/20210705/pdf/44y0fwc23vzhn0.pdf" TargetMode="External"/><Relationship Id="rId247" Type="http://schemas.openxmlformats.org/officeDocument/2006/relationships/hyperlink" Target="https://www.mmel.com.au/site/projects-and-products/buena-vista-magnetite-project" TargetMode="External"/><Relationship Id="rId107" Type="http://schemas.openxmlformats.org/officeDocument/2006/relationships/hyperlink" Target="https://braziliron.com.br/" TargetMode="External"/><Relationship Id="rId11" Type="http://schemas.openxmlformats.org/officeDocument/2006/relationships/hyperlink" Target="https://img1.wsimg.com/blobby/go/361b3a26-41ef-4cf5-a8fa-3bd92d5dc622/downloads/54edfe9b-40fc-4735-a4e1-7594430c4cee/24-001%20MagIron%20(Plant%204)%20Executive%20Summary%2013%20.pdf?ver=1768426688799" TargetMode="External"/><Relationship Id="rId32" Type="http://schemas.openxmlformats.org/officeDocument/2006/relationships/hyperlink" Target="https://mines-infrastructure-arcelormittal.com/en" TargetMode="External"/><Relationship Id="rId53" Type="http://schemas.openxmlformats.org/officeDocument/2006/relationships/hyperlink" Target="http://centuryglobal.ca/wp-content/uploads/2015/10/TR_PEA_2015-04-14_FullMoon.pdf" TargetMode="External"/><Relationship Id="rId74" Type="http://schemas.openxmlformats.org/officeDocument/2006/relationships/hyperlink" Target="https://www.cadenceminerals.com/projects/amapa-iron/" TargetMode="External"/><Relationship Id="rId128" Type="http://schemas.openxmlformats.org/officeDocument/2006/relationships/hyperlink" Target="https://rockexmining.com/i/pdf/Technical-Report-Oct2015.pdf" TargetMode="External"/><Relationship Id="rId149" Type="http://schemas.openxmlformats.org/officeDocument/2006/relationships/hyperlink" Target="https://lkab.com/en/" TargetMode="External"/><Relationship Id="rId5" Type="http://schemas.openxmlformats.org/officeDocument/2006/relationships/hyperlink" Target="https://kami.ca/" TargetMode="External"/><Relationship Id="rId95" Type="http://schemas.openxmlformats.org/officeDocument/2006/relationships/hyperlink" Target="https://blackiron.com/wp-content/uploads/2021/07/202003-Black-Iron-Amended-PEA.pdf" TargetMode="External"/><Relationship Id="rId160" Type="http://schemas.openxmlformats.org/officeDocument/2006/relationships/hyperlink" Target="https://metinvestholding.com/en/products/semi-finished-products/iron-ore-concentrate" TargetMode="External"/><Relationship Id="rId181" Type="http://schemas.openxmlformats.org/officeDocument/2006/relationships/hyperlink" Target="https://www.grangex.se/en/wp-content/uploads/sites/2/2021/10/sydvaranger-drift-as-dfs-exec-summary.pdf" TargetMode="External"/><Relationship Id="rId216" Type="http://schemas.openxmlformats.org/officeDocument/2006/relationships/hyperlink" Target="https://athenaresources.com.au/wp-content/uploads/2024/05/Athena-Scoping-Study-May-2024-web8893-1.pdf" TargetMode="External"/><Relationship Id="rId237" Type="http://schemas.openxmlformats.org/officeDocument/2006/relationships/hyperlink" Target="https://wcsecure.weblink.com.au/pdf/LML/02859106.pdf" TargetMode="External"/><Relationship Id="rId22" Type="http://schemas.openxmlformats.org/officeDocument/2006/relationships/hyperlink" Target="https://lhgmining.com.br/en/operations/" TargetMode="External"/><Relationship Id="rId43" Type="http://schemas.openxmlformats.org/officeDocument/2006/relationships/hyperlink" Target="https://announcements.asx.com.au/asxpdf/20250704/pdf/06lh9vw8ljkdd2.pdf" TargetMode="External"/><Relationship Id="rId64" Type="http://schemas.openxmlformats.org/officeDocument/2006/relationships/hyperlink" Target="https://wcsecure.weblink.com.au/pdf/GEN/02953348.pdf" TargetMode="External"/><Relationship Id="rId118" Type="http://schemas.openxmlformats.org/officeDocument/2006/relationships/hyperlink" Target="https://www.snim.com/en" TargetMode="External"/><Relationship Id="rId139" Type="http://schemas.openxmlformats.org/officeDocument/2006/relationships/hyperlink" Target="https://www.angloamerican.com/our-stories/innovation-and-technology/mine-profile-sishen" TargetMode="External"/><Relationship Id="rId85" Type="http://schemas.openxmlformats.org/officeDocument/2006/relationships/hyperlink" Target="https://www.centaurus.com.au/site/pdf/0c0a8c01-3cfc-4948-93b7-9cfc3e06c3f6/Jambreiro-Testwork-Successfully-Produces-DR-Pellet-Feed.pdf" TargetMode="External"/><Relationship Id="rId150" Type="http://schemas.openxmlformats.org/officeDocument/2006/relationships/hyperlink" Target="https://minergyresources.com/bahia.php" TargetMode="External"/><Relationship Id="rId171" Type="http://schemas.openxmlformats.org/officeDocument/2006/relationships/hyperlink" Target="https://beowulfmining.com/projects/sweden/kallak/" TargetMode="External"/><Relationship Id="rId192" Type="http://schemas.openxmlformats.org/officeDocument/2006/relationships/hyperlink" Target="https://ri.samarco.com/en/" TargetMode="External"/><Relationship Id="rId206" Type="http://schemas.openxmlformats.org/officeDocument/2006/relationships/hyperlink" Target="https://www.listcorp.com/asx/hio/hawsons-iron-limited/news/hawsons-drilling-program-and-resource-update-completed-3046964.html" TargetMode="External"/><Relationship Id="rId227" Type="http://schemas.openxmlformats.org/officeDocument/2006/relationships/hyperlink" Target="https://api.investi.com.au/api/announcements/mgt/b65c1415-9fc.pdf?utm" TargetMode="External"/><Relationship Id="rId248" Type="http://schemas.openxmlformats.org/officeDocument/2006/relationships/hyperlink" Target="https://www.ironore.ca/en" TargetMode="External"/><Relationship Id="rId12" Type="http://schemas.openxmlformats.org/officeDocument/2006/relationships/hyperlink" Target="https://img1.wsimg.com/blobby/go/361b3a26-41ef-4cf5-a8fa-3bd92d5dc622/downloads/54edfe9b-40fc-4735-a4e1-7594430c4cee/24-001%20MagIron%20(Plant%204)%20Executive%20Summary%2013%20.pdf?ver=1768426688799" TargetMode="External"/><Relationship Id="rId33" Type="http://schemas.openxmlformats.org/officeDocument/2006/relationships/hyperlink" Target="https://mines-infrastructure-arcelormittal.com/en/nos-mines" TargetMode="External"/><Relationship Id="rId108" Type="http://schemas.openxmlformats.org/officeDocument/2006/relationships/hyperlink" Target="https://www.bamin.com.br/en" TargetMode="External"/><Relationship Id="rId129" Type="http://schemas.openxmlformats.org/officeDocument/2006/relationships/hyperlink" Target="https://rockexmining.com/s/Investors.asp.html" TargetMode="External"/><Relationship Id="rId54" Type="http://schemas.openxmlformats.org/officeDocument/2006/relationships/hyperlink" Target="https://www.grangex.se/en/the-operation/projects-operational-areas/grangex-sydvaranger/" TargetMode="External"/><Relationship Id="rId75" Type="http://schemas.openxmlformats.org/officeDocument/2006/relationships/hyperlink" Target="https://www.cadenceminerals.com/" TargetMode="External"/><Relationship Id="rId96" Type="http://schemas.openxmlformats.org/officeDocument/2006/relationships/hyperlink" Target="https://www.baffinland.com/" TargetMode="External"/><Relationship Id="rId140" Type="http://schemas.openxmlformats.org/officeDocument/2006/relationships/hyperlink" Target="https://www.angloamericankumba.com/our-business/operations" TargetMode="External"/><Relationship Id="rId161" Type="http://schemas.openxmlformats.org/officeDocument/2006/relationships/hyperlink" Target="https://ranagruber.no/" TargetMode="External"/><Relationship Id="rId182" Type="http://schemas.openxmlformats.org/officeDocument/2006/relationships/hyperlink" Target="https://snim.com/sites/default/files/SNIM-Annual%20report%202023_En.pdf" TargetMode="External"/><Relationship Id="rId217" Type="http://schemas.openxmlformats.org/officeDocument/2006/relationships/hyperlink" Target="https://athenaresources.com.au/" TargetMode="External"/><Relationship Id="rId6" Type="http://schemas.openxmlformats.org/officeDocument/2006/relationships/hyperlink" Target="https://www.championiron.com/wp-content/uploads/2024/03/2024-03-14-champion-iron-pre-feasibility-study-for-the-kamistiatusset-kami-iron-ore-property.pdf" TargetMode="External"/><Relationship Id="rId238" Type="http://schemas.openxmlformats.org/officeDocument/2006/relationships/hyperlink" Target="https://www.zanagairon.com/" TargetMode="External"/><Relationship Id="rId23" Type="http://schemas.openxmlformats.org/officeDocument/2006/relationships/hyperlink" Target="https://www.championiron.com/project/bloom-lake/" TargetMode="External"/><Relationship Id="rId119" Type="http://schemas.openxmlformats.org/officeDocument/2006/relationships/hyperlink" Target="https://cdn-rio.dataweavers.io/-/media/content/documents/invest/reserves-and-resources/rt-mineral-resources-ore-reserves-updates-ar2023.pdf?rev=0d170288845c4ea3814ddc5b36b9391a" TargetMode="External"/><Relationship Id="rId44" Type="http://schemas.openxmlformats.org/officeDocument/2006/relationships/hyperlink" Target="https://api.investi.com.au/api/announcements/cle/6f8e886b-bba.pdf" TargetMode="External"/><Relationship Id="rId65" Type="http://schemas.openxmlformats.org/officeDocument/2006/relationships/hyperlink" Target="https://arrowminerals.com.au/project/simandou-north-iron-project/" TargetMode="External"/><Relationship Id="rId86" Type="http://schemas.openxmlformats.org/officeDocument/2006/relationships/hyperlink" Target="https://www.centaurus.com.au/site/projects/resources-reserves" TargetMode="External"/><Relationship Id="rId130" Type="http://schemas.openxmlformats.org/officeDocument/2006/relationships/hyperlink" Target="https://rockexmining.com/s/Lake_St_Joseph.asp.html" TargetMode="External"/><Relationship Id="rId151" Type="http://schemas.openxmlformats.org/officeDocument/2006/relationships/hyperlink" Target="https://www.kaunisiron.se/en/about-us/our-history/" TargetMode="External"/><Relationship Id="rId172" Type="http://schemas.openxmlformats.org/officeDocument/2006/relationships/hyperlink" Target="https://beowulfmining.com/wp-content/uploads/2026/01/Beowulf-Corporate-Presentation-Q1-2026.pdf" TargetMode="External"/><Relationship Id="rId193" Type="http://schemas.openxmlformats.org/officeDocument/2006/relationships/hyperlink" Target="https://hightideresources.com/site/assets/files/7122/high_tide_resources_ni_43-101_report_labrador_west_iron_project_final_2023.pdf?17iokk" TargetMode="External"/><Relationship Id="rId207" Type="http://schemas.openxmlformats.org/officeDocument/2006/relationships/hyperlink" Target="https://wcsecure.weblink.com.au/pdf/HIO/03038544.pdf" TargetMode="External"/><Relationship Id="rId228" Type="http://schemas.openxmlformats.org/officeDocument/2006/relationships/hyperlink" Target="https://www.energymining.sa.gov.au/industry/geological-survey/gssa-projects/magnetite-south-australia" TargetMode="External"/><Relationship Id="rId249" Type="http://schemas.openxmlformats.org/officeDocument/2006/relationships/hyperlink" Target="https://jindalresources.com/company-camina-sa" TargetMode="External"/><Relationship Id="rId13" Type="http://schemas.openxmlformats.org/officeDocument/2006/relationships/hyperlink" Target="https://img1.wsimg.com/blobby/go/361b3a26-41ef-4cf5-a8fa-3bd92d5dc622/downloads/43cc4df4-42d5-496b-916e-250a473385f8/MagIron%20Press%20Release%20First%20Pellets_FINAL.pdf?ver=1768426688678" TargetMode="External"/><Relationship Id="rId109" Type="http://schemas.openxmlformats.org/officeDocument/2006/relationships/hyperlink" Target="https://www.bamin.com.br/en" TargetMode="External"/><Relationship Id="rId34" Type="http://schemas.openxmlformats.org/officeDocument/2006/relationships/hyperlink" Target="https://cerradogold.com/" TargetMode="External"/><Relationship Id="rId55" Type="http://schemas.openxmlformats.org/officeDocument/2006/relationships/hyperlink" Target="https://magironusa.com/" TargetMode="External"/><Relationship Id="rId76" Type="http://schemas.openxmlformats.org/officeDocument/2006/relationships/hyperlink" Target="https://www.cadenceminerals.com/wp-content/uploads/2026/01/Cadence-Jan-2026.pdf" TargetMode="External"/><Relationship Id="rId97" Type="http://schemas.openxmlformats.org/officeDocument/2006/relationships/hyperlink" Target="https://www.baffinland.com/operation/mary-river-mine/" TargetMode="External"/><Relationship Id="rId120" Type="http://schemas.openxmlformats.org/officeDocument/2006/relationships/hyperlink" Target="https://www.cmp.cl/wp-content/uploads/2024/08/CMP_ENG_Cap1_Desarrollo-del-negocio-minero.pdf" TargetMode="External"/><Relationship Id="rId141" Type="http://schemas.openxmlformats.org/officeDocument/2006/relationships/hyperlink" Target="https://www.angloamerican.com/~/media/Files/A/Anglo-American-Group-v9/PLC/investors/results-centre-and-presentations/anglo-american-hy25-results-presentation.pdf" TargetMode="External"/><Relationship Id="rId7" Type="http://schemas.openxmlformats.org/officeDocument/2006/relationships/hyperlink" Target="https://www.zanagairon.com/the-zanaga-project/" TargetMode="External"/><Relationship Id="rId162" Type="http://schemas.openxmlformats.org/officeDocument/2006/relationships/hyperlink" Target="https://ranagruber.no/about-us/resources-and-mines/" TargetMode="External"/><Relationship Id="rId183" Type="http://schemas.openxmlformats.org/officeDocument/2006/relationships/hyperlink" Target="https://rockexmining.com/i/pdf/2015-11_DanieliCentroMetallics.pdf" TargetMode="External"/><Relationship Id="rId218" Type="http://schemas.openxmlformats.org/officeDocument/2006/relationships/hyperlink" Target="https://athenaresources.com.au/byro-industrial-metals/" TargetMode="External"/><Relationship Id="rId239" Type="http://schemas.openxmlformats.org/officeDocument/2006/relationships/hyperlink" Target="https://kami.ca/" TargetMode="External"/><Relationship Id="rId250" Type="http://schemas.openxmlformats.org/officeDocument/2006/relationships/hyperlink" Target="https://macarthurminerals.com/lake-giles-processing-plant-conceptual-flythrough/" TargetMode="External"/><Relationship Id="rId24" Type="http://schemas.openxmlformats.org/officeDocument/2006/relationships/hyperlink" Target="https://www.championiron.com/wp-content/uploads/2023/10/cia-technical-report-ni-43-101-2023-3813138-000000-40-era-0002-r00.pdf" TargetMode="External"/><Relationship Id="rId45" Type="http://schemas.openxmlformats.org/officeDocument/2006/relationships/hyperlink" Target="https://metalquestmining.com/" TargetMode="External"/><Relationship Id="rId66" Type="http://schemas.openxmlformats.org/officeDocument/2006/relationships/hyperlink" Target="https://arrowminerals.com.au/" TargetMode="External"/><Relationship Id="rId87" Type="http://schemas.openxmlformats.org/officeDocument/2006/relationships/hyperlink" Target="https://nordiciron.se/" TargetMode="External"/><Relationship Id="rId110" Type="http://schemas.openxmlformats.org/officeDocument/2006/relationships/hyperlink" Target="https://braziliron.com.br/en/ferro-verde-na-chapadadiamantina/" TargetMode="External"/><Relationship Id="rId131" Type="http://schemas.openxmlformats.org/officeDocument/2006/relationships/hyperlink" Target="https://rockexmining.com/index.html" TargetMode="External"/><Relationship Id="rId152" Type="http://schemas.openxmlformats.org/officeDocument/2006/relationships/hyperlink" Target="https://www.legendmining.com.au/reports/ASX20110526_AGMPresentation.pdf" TargetMode="External"/><Relationship Id="rId173" Type="http://schemas.openxmlformats.org/officeDocument/2006/relationships/hyperlink" Target="https://beowulfmining.com/wp-content/uploads/2026/01/Beowulf-Corporate-Presentation-Q1-2026.pdf" TargetMode="External"/><Relationship Id="rId194" Type="http://schemas.openxmlformats.org/officeDocument/2006/relationships/hyperlink" Target="https://hightideresources.com/" TargetMode="External"/><Relationship Id="rId208" Type="http://schemas.openxmlformats.org/officeDocument/2006/relationships/hyperlink" Target="https://announcements.asx.com.au/asxpdf/20220321/pdf/45767f9j59nd4m.pdf" TargetMode="External"/><Relationship Id="rId229" Type="http://schemas.openxmlformats.org/officeDocument/2006/relationships/hyperlink" Target="https://gfgalliancewhyalla.com/about-us/mining/" TargetMode="External"/><Relationship Id="rId240" Type="http://schemas.openxmlformats.org/officeDocument/2006/relationships/hyperlink" Target="https://www.cyclonemetals.au/iron-bear/overview/" TargetMode="External"/><Relationship Id="rId14" Type="http://schemas.openxmlformats.org/officeDocument/2006/relationships/hyperlink" Target="https://oceanicironore.com/_resources/presentations/corporate-presentation.pdf" TargetMode="External"/><Relationship Id="rId35" Type="http://schemas.openxmlformats.org/officeDocument/2006/relationships/hyperlink" Target="https://cerradogold.com/projects/mont-sorcier" TargetMode="External"/><Relationship Id="rId56" Type="http://schemas.openxmlformats.org/officeDocument/2006/relationships/hyperlink" Target="https://centuryglobal.ca/" TargetMode="External"/><Relationship Id="rId77" Type="http://schemas.openxmlformats.org/officeDocument/2006/relationships/hyperlink" Target="https://www.londonstockexchange.com/news-article/KDNC/amapa-iron-ore-project-update/16781073" TargetMode="External"/><Relationship Id="rId100" Type="http://schemas.openxmlformats.org/officeDocument/2006/relationships/hyperlink" Target="https://www.angleseymining.co.uk/grangesberg/" TargetMode="External"/><Relationship Id="rId8" Type="http://schemas.openxmlformats.org/officeDocument/2006/relationships/hyperlink" Target="https://www.zanagairon.com/the-zanaga-project/dri-pellet-feed/" TargetMode="External"/><Relationship Id="rId98" Type="http://schemas.openxmlformats.org/officeDocument/2006/relationships/hyperlink" Target="https://www.grangex.se/en/wp-content/uploads/sites/2/2025/01/DFS-2024.pdf" TargetMode="External"/><Relationship Id="rId121" Type="http://schemas.openxmlformats.org/officeDocument/2006/relationships/hyperlink" Target="https://www.cmp.cl/" TargetMode="External"/><Relationship Id="rId142" Type="http://schemas.openxmlformats.org/officeDocument/2006/relationships/hyperlink" Target="https://www.angloamerican.com/~/media/Files/A/Anglo-American-Group-v9/PLC/investors/results-centre-and-presentations/anglo-american-hy25-results-presentation.pdf" TargetMode="External"/><Relationship Id="rId163" Type="http://schemas.openxmlformats.org/officeDocument/2006/relationships/hyperlink" Target="https://newsroom.championiron.com/2025-12-21-CHAMPION-IRON-TO-LAUNCH-CASH-TENDER-OFFER-TO-ACQUIRE-RANA-GRUBER,-RECEIVES-FINANCIAL-SUPPORT-FROM-LA-CAISSE-AND-A-TERM-LOAN-COMMITMENT-FROM-SCOTIABANK" TargetMode="External"/><Relationship Id="rId184" Type="http://schemas.openxmlformats.org/officeDocument/2006/relationships/hyperlink" Target="https://www.grangex.se/en/" TargetMode="External"/><Relationship Id="rId219" Type="http://schemas.openxmlformats.org/officeDocument/2006/relationships/hyperlink" Target="https://company-announcements.afr.com/asx/ahn/3f46d6d7-d004-11ec-8084-8277c9a3b1ab.pdf?utm_source=chatgpt.com" TargetMode="External"/><Relationship Id="rId230" Type="http://schemas.openxmlformats.org/officeDocument/2006/relationships/hyperlink" Target="https://www.energymining.sa.gov.au/industry/minerals-and-mining/mining/major-projects-and-mining-activities/major-operating-and-approved-mines/middleback-ranges" TargetMode="External"/><Relationship Id="rId251" Type="http://schemas.openxmlformats.org/officeDocument/2006/relationships/printerSettings" Target="../printerSettings/printerSettings3.bin"/><Relationship Id="rId25" Type="http://schemas.openxmlformats.org/officeDocument/2006/relationships/hyperlink" Target="https://www.championiron.com/wp-content/uploads/2023/10/cia-technical-report-ni-43-101-2023-3813138-000000-40-era-0002-r00.pdf" TargetMode="External"/><Relationship Id="rId46" Type="http://schemas.openxmlformats.org/officeDocument/2006/relationships/hyperlink" Target="https://metalquestmining.com/projects/lac-otelnuk/" TargetMode="External"/><Relationship Id="rId67" Type="http://schemas.openxmlformats.org/officeDocument/2006/relationships/hyperlink" Target="https://app.sharelinktechnologies.com/announcement/asx/2762ddc83ab8e1b9d54937ed7c8608cb" TargetMode="External"/><Relationship Id="rId88" Type="http://schemas.openxmlformats.org/officeDocument/2006/relationships/hyperlink" Target="https://nordiciron.se/mfn_news/uppdatering-kring-utvecklingen-av-blotbergsprojektet-2/" TargetMode="External"/><Relationship Id="rId111" Type="http://schemas.openxmlformats.org/officeDocument/2006/relationships/hyperlink" Target="https://www.miningreporters.com/noticia/news/2025/10/erg-weighs-offers-bamin-iron-ore-project-brazil-2025" TargetMode="External"/><Relationship Id="rId132" Type="http://schemas.openxmlformats.org/officeDocument/2006/relationships/hyperlink" Target="https://portergeo.com.au/database/mineinfo.php?mineid=mn332" TargetMode="External"/><Relationship Id="rId153" Type="http://schemas.openxmlformats.org/officeDocument/2006/relationships/hyperlink" Target="https://jindalresources.com/company-camina-sa" TargetMode="External"/><Relationship Id="rId174" Type="http://schemas.openxmlformats.org/officeDocument/2006/relationships/hyperlink" Target="https://beowulfmining.com/wp-content/uploads/2026/01/Beowulf-Corporate-Presentation-Q1-2026.pdf" TargetMode="External"/><Relationship Id="rId195" Type="http://schemas.openxmlformats.org/officeDocument/2006/relationships/hyperlink" Target="https://hightideresources.com/projects/labrador-west/" TargetMode="External"/><Relationship Id="rId209" Type="http://schemas.openxmlformats.org/officeDocument/2006/relationships/hyperlink" Target="https://announcements.asx.com.au/asxpdf/20220321/pdf/45767f9j59nd4m.pdf" TargetMode="External"/><Relationship Id="rId220" Type="http://schemas.openxmlformats.org/officeDocument/2006/relationships/hyperlink" Target="https://clients2.weblink.com.au/news/pdf_1%5C02967070.pdf" TargetMode="External"/><Relationship Id="rId241" Type="http://schemas.openxmlformats.org/officeDocument/2006/relationships/hyperlink" Target="https://oceanicironore.com/projects/ungava-bay-iron-ore-deposits/" TargetMode="External"/><Relationship Id="rId15" Type="http://schemas.openxmlformats.org/officeDocument/2006/relationships/hyperlink" Target="https://oceanicironore.com/_resources/pdfs/oceanic-tech-report-20200131.pdf" TargetMode="External"/><Relationship Id="rId36" Type="http://schemas.openxmlformats.org/officeDocument/2006/relationships/hyperlink" Target="https://wcsecure.weblink.com.au/pdf/GEN/02953348.pdf" TargetMode="External"/><Relationship Id="rId57" Type="http://schemas.openxmlformats.org/officeDocument/2006/relationships/hyperlink" Target="https://centuryglobal.ca/projects/full-moon-project/" TargetMode="External"/><Relationship Id="rId78" Type="http://schemas.openxmlformats.org/officeDocument/2006/relationships/hyperlink" Target="https://www.londonstockexchange.com/news-article/KDNC/updated-pfs-economic-study-delivers-increased-npv/16791904" TargetMode="External"/><Relationship Id="rId99" Type="http://schemas.openxmlformats.org/officeDocument/2006/relationships/hyperlink" Target="https://www.grangex.se/en/wp-content/uploads/sites/2/2025/01/DFS-2024.pdf" TargetMode="External"/><Relationship Id="rId101" Type="http://schemas.openxmlformats.org/officeDocument/2006/relationships/hyperlink" Target="https://www.angleseymining.co.uk/" TargetMode="External"/><Relationship Id="rId122" Type="http://schemas.openxmlformats.org/officeDocument/2006/relationships/hyperlink" Target="https://www.barlowmetal.ca/en/our-projects/project/iron-hills-project" TargetMode="External"/><Relationship Id="rId143" Type="http://schemas.openxmlformats.org/officeDocument/2006/relationships/hyperlink" Target="https://portergeo.com.au/database/mineinfo.php?mineid=mn1211" TargetMode="External"/><Relationship Id="rId164" Type="http://schemas.openxmlformats.org/officeDocument/2006/relationships/hyperlink" Target="https://www.championiron.com/project/bloom-lake/" TargetMode="External"/><Relationship Id="rId185" Type="http://schemas.openxmlformats.org/officeDocument/2006/relationships/hyperlink" Target="https://www.grangex.se/en/the-operation/projects-operational-areas/dannemora-mine/" TargetMode="External"/><Relationship Id="rId9" Type="http://schemas.openxmlformats.org/officeDocument/2006/relationships/hyperlink" Target="https://www.zanagairon.com/the-zanaga-project/feasibility-study/" TargetMode="External"/><Relationship Id="rId210" Type="http://schemas.openxmlformats.org/officeDocument/2006/relationships/hyperlink" Target="https://macarthurminerals.com/" TargetMode="External"/><Relationship Id="rId26" Type="http://schemas.openxmlformats.org/officeDocument/2006/relationships/hyperlink" Target="https://ivindoiron.ga/fr/belinga-project?amp%3Bsc_site=Ivindo%20Iron" TargetMode="External"/><Relationship Id="rId231" Type="http://schemas.openxmlformats.org/officeDocument/2006/relationships/hyperlink" Target="https://gfgalliancewhyalla.com/about-us/mining/" TargetMode="External"/><Relationship Id="rId252" Type="http://schemas.openxmlformats.org/officeDocument/2006/relationships/vmlDrawing" Target="../drawings/vmlDrawing2.vml"/><Relationship Id="rId47" Type="http://schemas.openxmlformats.org/officeDocument/2006/relationships/hyperlink" Target="https://drive.google.com/file/d/1QYpi4MknA1R9oUfh4Q7YvP97mrJFV5VG/view" TargetMode="External"/><Relationship Id="rId68" Type="http://schemas.openxmlformats.org/officeDocument/2006/relationships/hyperlink" Target="https://app.sharelinktechnologies.com/announcement-preview/asx/3a69b758bb2f0377639a4a5c2cf30e3e" TargetMode="External"/><Relationship Id="rId89" Type="http://schemas.openxmlformats.org/officeDocument/2006/relationships/hyperlink" Target="https://nordiciron.se/mfn_news/uppdatering-kring-utvecklingen-av-blotbergsprojektet-2/" TargetMode="External"/><Relationship Id="rId112" Type="http://schemas.openxmlformats.org/officeDocument/2006/relationships/hyperlink" Target="https://www.takamul.mr/en/about-us/" TargetMode="External"/><Relationship Id="rId133" Type="http://schemas.openxmlformats.org/officeDocument/2006/relationships/hyperlink" Target="https://www.srk.com/en/publications/technical-reports-for-corumba-43-101" TargetMode="External"/><Relationship Id="rId154" Type="http://schemas.openxmlformats.org/officeDocument/2006/relationships/hyperlink" Target="https://www.woodplc.com/news/latest-press-releases/2025/wood-secures-contract-on-early-cameroon-mining-project" TargetMode="External"/><Relationship Id="rId175" Type="http://schemas.openxmlformats.org/officeDocument/2006/relationships/hyperlink" Target="https://www.riotinto.com/en/news/releases/2023/simandou-iron-ore-project-update" TargetMode="External"/><Relationship Id="rId196" Type="http://schemas.openxmlformats.org/officeDocument/2006/relationships/hyperlink" Target="https://wcsecure.weblink.com.au/pdf/IRD/02884290.pdf" TargetMode="External"/><Relationship Id="rId200" Type="http://schemas.openxmlformats.org/officeDocument/2006/relationships/hyperlink" Target="https://wcsecure.weblink.com.au/pdf/IRD/02884290.pdf" TargetMode="External"/><Relationship Id="rId16" Type="http://schemas.openxmlformats.org/officeDocument/2006/relationships/hyperlink" Target="https://www.cmp.cl/" TargetMode="External"/><Relationship Id="rId221" Type="http://schemas.openxmlformats.org/officeDocument/2006/relationships/hyperlink" Target="https://www.magnetitemines.com/" TargetMode="External"/><Relationship Id="rId242" Type="http://schemas.openxmlformats.org/officeDocument/2006/relationships/hyperlink" Target="https://blackiron.com/project-overview/" TargetMode="External"/><Relationship Id="rId37" Type="http://schemas.openxmlformats.org/officeDocument/2006/relationships/hyperlink" Target="https://minedocs.com/25/Baniaka-PFS-11162022.pdf" TargetMode="External"/><Relationship Id="rId58" Type="http://schemas.openxmlformats.org/officeDocument/2006/relationships/hyperlink" Target="https://centuryglobal.ca/projects/full-moon-project/" TargetMode="External"/><Relationship Id="rId79" Type="http://schemas.openxmlformats.org/officeDocument/2006/relationships/hyperlink" Target="https://www.cadenceminerals.com/wp-content/uploads/2026/01/Cadence-Jan-2026.pdf" TargetMode="External"/><Relationship Id="rId102" Type="http://schemas.openxmlformats.org/officeDocument/2006/relationships/hyperlink" Target="https://www.angleseymining.co.uk/wp-content/uploads/2022/07/AYM_RNS_Grangesberg_PFS_results.pdf" TargetMode="External"/><Relationship Id="rId123" Type="http://schemas.openxmlformats.org/officeDocument/2006/relationships/hyperlink" Target="https://www.barlowmetal.ca/en" TargetMode="External"/><Relationship Id="rId144" Type="http://schemas.openxmlformats.org/officeDocument/2006/relationships/hyperlink" Target="https://www.afr.com/companies/mining/fortescue-aims-for-2030-debut-in-african-iron-ore-20251222-p5npgu" TargetMode="External"/><Relationship Id="rId90" Type="http://schemas.openxmlformats.org/officeDocument/2006/relationships/hyperlink" Target="https://redparamount.ca/wp-content/uploads/2025/02/NI43_101_for-the-LacVirot-Project_FINAL_FEB-19-2025.pdf" TargetMode="External"/><Relationship Id="rId165" Type="http://schemas.openxmlformats.org/officeDocument/2006/relationships/hyperlink" Target="https://www.mmel.com.au/site/projects-and-products/mining/metallurgy" TargetMode="External"/><Relationship Id="rId186" Type="http://schemas.openxmlformats.org/officeDocument/2006/relationships/hyperlink" Target="https://www.kaunisiron.se/en/" TargetMode="External"/><Relationship Id="rId211" Type="http://schemas.openxmlformats.org/officeDocument/2006/relationships/hyperlink" Target="https://macarthurminerals.com/wp-content/uploads/2022/03/NR-Mineral-Reserve-Statement_Final_TSXV-15-March-2022.pdf" TargetMode="External"/><Relationship Id="rId232" Type="http://schemas.openxmlformats.org/officeDocument/2006/relationships/hyperlink" Target="https://www.energymining.sa.gov.au/industry/geological-survey/gssa-projects/magnetite-south-australia" TargetMode="External"/><Relationship Id="rId253" Type="http://schemas.openxmlformats.org/officeDocument/2006/relationships/comments" Target="../comments2.xml"/><Relationship Id="rId27" Type="http://schemas.openxmlformats.org/officeDocument/2006/relationships/hyperlink" Target="https://ivindoiron.ga/fr" TargetMode="External"/><Relationship Id="rId48" Type="http://schemas.openxmlformats.org/officeDocument/2006/relationships/hyperlink" Target="https://metalquestmining.com/wp-content/uploads/2026/01/MetalQuest-Mining-Corporate-Presentation-Jan-2026.pdf" TargetMode="External"/><Relationship Id="rId69" Type="http://schemas.openxmlformats.org/officeDocument/2006/relationships/hyperlink" Target="https://app.sharelinktechnologies.com/announcement/asx/d1e9ab5b2fb2b8396463691b4e05f3a4" TargetMode="External"/><Relationship Id="rId113" Type="http://schemas.openxmlformats.org/officeDocument/2006/relationships/hyperlink" Target="https://www.takamul.mr/en/about-us/" TargetMode="External"/><Relationship Id="rId134" Type="http://schemas.openxmlformats.org/officeDocument/2006/relationships/hyperlink" Target="https://lhgmining.com.br/en/operations/" TargetMode="External"/><Relationship Id="rId80" Type="http://schemas.openxmlformats.org/officeDocument/2006/relationships/hyperlink" Target="https://www.centaurus.com.au/site/content/" TargetMode="External"/><Relationship Id="rId155" Type="http://schemas.openxmlformats.org/officeDocument/2006/relationships/hyperlink" Target="https://legendmining.com.au/reports/2011AprilMinelifeArticle.pdf" TargetMode="External"/><Relationship Id="rId176" Type="http://schemas.openxmlformats.org/officeDocument/2006/relationships/hyperlink" Target="https://www.snim.com/sites/default/files/SNIM-Annual%20report%202023_En.pdf" TargetMode="External"/><Relationship Id="rId197" Type="http://schemas.openxmlformats.org/officeDocument/2006/relationships/hyperlink" Target="https://www.ironroadlimited.com.au/" TargetMode="External"/><Relationship Id="rId201" Type="http://schemas.openxmlformats.org/officeDocument/2006/relationships/hyperlink" Target="https://www.ironroadlimited.com.au/index.php/projects/25-central-eyre-iron-project/mlp-eis" TargetMode="External"/><Relationship Id="rId222" Type="http://schemas.openxmlformats.org/officeDocument/2006/relationships/hyperlink" Target="https://www.magnetitemines.com/razorback-iron-ore-project" TargetMode="External"/><Relationship Id="rId243" Type="http://schemas.openxmlformats.org/officeDocument/2006/relationships/hyperlink" Target="https://www.riotinto.com/en/operations/africa/simandou" TargetMode="External"/><Relationship Id="rId17" Type="http://schemas.openxmlformats.org/officeDocument/2006/relationships/hyperlink" Target="https://ri.csnmineracao.com.br/en/" TargetMode="External"/><Relationship Id="rId38" Type="http://schemas.openxmlformats.org/officeDocument/2006/relationships/hyperlink" Target="https://minedocs.com/25/Baniaka-PFS-11162022.pdf" TargetMode="External"/><Relationship Id="rId59" Type="http://schemas.openxmlformats.org/officeDocument/2006/relationships/hyperlink" Target="https://ivanhoeatlantic.com/" TargetMode="External"/><Relationship Id="rId103" Type="http://schemas.openxmlformats.org/officeDocument/2006/relationships/hyperlink" Target="https://www.angleseymining.co.uk/wp-content/uploads/2022/07/AYM_RNS_Grangesberg_PFS_results.pdf" TargetMode="External"/><Relationship Id="rId124" Type="http://schemas.openxmlformats.org/officeDocument/2006/relationships/hyperlink" Target="https://corporate.arcelormittal.com/media/shgb4sw5/arcelor-mittal-fact-book-2023.pdf" TargetMode="External"/><Relationship Id="rId70" Type="http://schemas.openxmlformats.org/officeDocument/2006/relationships/hyperlink" Target="https://app.sharelinktechnologies.com/announcement/asx/e3641ba966593a7d219494ed57a50219" TargetMode="External"/><Relationship Id="rId91" Type="http://schemas.openxmlformats.org/officeDocument/2006/relationships/hyperlink" Target="https://redparamount.ca/wp-content/uploads/2025/02/NI43_101_for-the-LacVirot-Project_FINAL_FEB-19-2025.pdf" TargetMode="External"/><Relationship Id="rId145" Type="http://schemas.openxmlformats.org/officeDocument/2006/relationships/hyperlink" Target="https://minedocs.com/26/Casa-de-Pedra-TRS-FINAL-10202022.pdf" TargetMode="External"/><Relationship Id="rId166" Type="http://schemas.openxmlformats.org/officeDocument/2006/relationships/hyperlink" Target="https://ranagruber.no/wp-content/uploads/CMD-2025_-Presentation.pdf" TargetMode="External"/><Relationship Id="rId187" Type="http://schemas.openxmlformats.org/officeDocument/2006/relationships/hyperlink" Target="https://api.mziq.com/mzfilemanager/v2/d/53207d1c-63b4-48f1-96b7-19869fae19fe/52596bfd-eed8-6b4a-ce2d-6e4bc02d7353?origin=2" TargetMode="External"/><Relationship Id="rId1" Type="http://schemas.openxmlformats.org/officeDocument/2006/relationships/hyperlink" Target="https://www.zanagairon.com/documents/investor-day-presentation/" TargetMode="External"/><Relationship Id="rId212" Type="http://schemas.openxmlformats.org/officeDocument/2006/relationships/hyperlink" Target="https://macarthurminerals.com/wp-content/uploads/2022/04/LGIO1-EN-00000-G-R-9006-1.pdf" TargetMode="External"/><Relationship Id="rId233" Type="http://schemas.openxmlformats.org/officeDocument/2006/relationships/hyperlink" Target="https://lincolnminerals.com.au/" TargetMode="External"/><Relationship Id="rId254" Type="http://schemas.microsoft.com/office/2017/10/relationships/threadedComment" Target="../threadedComments/threadedComment2.xml"/><Relationship Id="rId28" Type="http://schemas.openxmlformats.org/officeDocument/2006/relationships/hyperlink" Target="https://www.grangex.se/en/the-operation/projects-operational-areas/grangex-sydvaranger/" TargetMode="External"/><Relationship Id="rId49" Type="http://schemas.openxmlformats.org/officeDocument/2006/relationships/hyperlink" Target="https://drive.google.com/file/d/1QYpi4MknA1R9oUfh4Q7YvP97mrJFV5VG/view" TargetMode="External"/><Relationship Id="rId114" Type="http://schemas.openxmlformats.org/officeDocument/2006/relationships/hyperlink" Target="https://announcements.asx.com.au/asxpdf/20151126/pdf/433bsghfwl7x7r.pdf" TargetMode="External"/><Relationship Id="rId60" Type="http://schemas.openxmlformats.org/officeDocument/2006/relationships/hyperlink" Target="https://ivanhoeatlantic.com/guinea/" TargetMode="External"/><Relationship Id="rId81" Type="http://schemas.openxmlformats.org/officeDocument/2006/relationships/hyperlink" Target="https://www.centaurus.com.au/site/projects/jambreiro-iron-ore-project" TargetMode="External"/><Relationship Id="rId135" Type="http://schemas.openxmlformats.org/officeDocument/2006/relationships/hyperlink" Target="https://www.angloamericankumba.com/" TargetMode="External"/><Relationship Id="rId156" Type="http://schemas.openxmlformats.org/officeDocument/2006/relationships/hyperlink" Target="https://lkab.com/en/" TargetMode="External"/><Relationship Id="rId177" Type="http://schemas.openxmlformats.org/officeDocument/2006/relationships/hyperlink" Target="https://portergeo.com.au/database/mineinfo.php?mineid=mn1158" TargetMode="External"/><Relationship Id="rId198" Type="http://schemas.openxmlformats.org/officeDocument/2006/relationships/hyperlink" Target="https://www.ironroadlimited.com.au/index.php/central-eyre-iron-project" TargetMode="External"/><Relationship Id="rId202" Type="http://schemas.openxmlformats.org/officeDocument/2006/relationships/hyperlink" Target="https://wcsecure.weblink.com.au/pdf/HIO/02820097.pdf" TargetMode="External"/><Relationship Id="rId223" Type="http://schemas.openxmlformats.org/officeDocument/2006/relationships/hyperlink" Target="https://company-announcements.afr.com/asx/mgt/388fcf20-5548-11f0-ab50-fa3dfe1111bc.pdf" TargetMode="External"/><Relationship Id="rId244" Type="http://schemas.openxmlformats.org/officeDocument/2006/relationships/hyperlink" Target="https://ri.csnmineracao.com.br/en/company/history-and-corporate-profile/" TargetMode="External"/><Relationship Id="rId18" Type="http://schemas.openxmlformats.org/officeDocument/2006/relationships/hyperlink" Target="https://blackiron.com/wp-content/uploads/2021/07/202003-Black-Iron-Amended-PEA.pdf" TargetMode="External"/><Relationship Id="rId39" Type="http://schemas.openxmlformats.org/officeDocument/2006/relationships/hyperlink" Target="https://minedocs.com/25/Baniaka-PFS-11162022.pdf" TargetMode="External"/><Relationship Id="rId50" Type="http://schemas.openxmlformats.org/officeDocument/2006/relationships/hyperlink" Target="https://centuryglobal.ca/projects/full-moon-project/" TargetMode="External"/><Relationship Id="rId104" Type="http://schemas.openxmlformats.org/officeDocument/2006/relationships/hyperlink" Target="https://www.miningreporters.com/noticia/news/2025/10/erg-weighs-offers-bamin-iron-ore-project-brazil-2025" TargetMode="External"/><Relationship Id="rId125" Type="http://schemas.openxmlformats.org/officeDocument/2006/relationships/hyperlink" Target="https://corporate.arcelormittal.com/media/shgb4sw5/arcelor-mittal-fact-book-2023.pdf" TargetMode="External"/><Relationship Id="rId146" Type="http://schemas.openxmlformats.org/officeDocument/2006/relationships/hyperlink" Target="https://minedocs.com/26/Casa-de-Pedra-TRS-FINAL-10202022.pdf" TargetMode="External"/><Relationship Id="rId167" Type="http://schemas.openxmlformats.org/officeDocument/2006/relationships/hyperlink" Target="https://ranagruber.no/wp-content/uploads/CMD-2025_-Presentation.pdf" TargetMode="External"/><Relationship Id="rId188" Type="http://schemas.openxmlformats.org/officeDocument/2006/relationships/hyperlink" Target="https://www.vale.com/" TargetMode="External"/><Relationship Id="rId71" Type="http://schemas.openxmlformats.org/officeDocument/2006/relationships/hyperlink" Target="https://www.grangex.se/en/wp-content/uploads/sites/2/2021/10/sydvaranger-drift-as-dfs-exec-summary.pdf" TargetMode="External"/><Relationship Id="rId92" Type="http://schemas.openxmlformats.org/officeDocument/2006/relationships/hyperlink" Target="https://redparamount.ca/wp-content/uploads/2025/02/NI43_101_for-the-LacVirot-Project_FINAL_FEB-19-2025.pdf" TargetMode="External"/><Relationship Id="rId213" Type="http://schemas.openxmlformats.org/officeDocument/2006/relationships/hyperlink" Target="https://announcements.asx.com.au/asxpdf/20220321/pdf/45767f9j59nd4m.pdf" TargetMode="External"/><Relationship Id="rId234" Type="http://schemas.openxmlformats.org/officeDocument/2006/relationships/hyperlink" Target="https://lincolnminerals.com.au/projects/green-iron-magnetite-project/" TargetMode="External"/><Relationship Id="rId2" Type="http://schemas.openxmlformats.org/officeDocument/2006/relationships/hyperlink" Target="https://cerradogold.com/images/Projects/Mont_Sorcier/VONE-PEA-SEPT2022_compressed.pdf" TargetMode="External"/><Relationship Id="rId29" Type="http://schemas.openxmlformats.org/officeDocument/2006/relationships/hyperlink" Target="https://www.grangex.se/en/" TargetMode="External"/><Relationship Id="rId40" Type="http://schemas.openxmlformats.org/officeDocument/2006/relationships/hyperlink" Target="https://announcements.asx.com.au/asxpdf/20250923/pdf/06pk6crv4jnk50.pdf" TargetMode="External"/><Relationship Id="rId115" Type="http://schemas.openxmlformats.org/officeDocument/2006/relationships/hyperlink" Target="https://announcements.asx.com.au/asxpdf/20151126/pdf/433bsghfwl7x7r.pdf" TargetMode="External"/><Relationship Id="rId136" Type="http://schemas.openxmlformats.org/officeDocument/2006/relationships/hyperlink" Target="https://www.angloamerican.com/~/media/Files/A/Anglo-American-Group-v9/PLC/investors/annual-reporting/2024/anglo-american-ore-reserves-and-mineral-resources-report-2024.pdf" TargetMode="External"/><Relationship Id="rId157" Type="http://schemas.openxmlformats.org/officeDocument/2006/relationships/hyperlink" Target="https://direct.euronext.com/api/PublicAnnouncements/RISDocument/Metinvest_JORC%202021%20Results_27%20April%202022.pdf?id=db8b9841-279d-4ace-9c4d-5fd20d20abe8" TargetMode="External"/><Relationship Id="rId178" Type="http://schemas.openxmlformats.org/officeDocument/2006/relationships/hyperlink" Target="https://blackiron.com/wp-content/uploads/2021/07/202003-Black-Iron-Amended-PEA.pdf" TargetMode="External"/><Relationship Id="rId61" Type="http://schemas.openxmlformats.org/officeDocument/2006/relationships/hyperlink" Target="https://ivanhoeatlantic.com/guinea/" TargetMode="External"/><Relationship Id="rId82" Type="http://schemas.openxmlformats.org/officeDocument/2006/relationships/hyperlink" Target="https://www.centaurus.com.au/site/PDF/e4290ac9-e55d-4ff9-893c-d4708aecb9bf/JambreiroPreFeasibilityStudyannouncement" TargetMode="External"/><Relationship Id="rId199" Type="http://schemas.openxmlformats.org/officeDocument/2006/relationships/hyperlink" Target="https://wcsecure.weblink.com.au/pdf/IRD/02079052.pdf" TargetMode="External"/><Relationship Id="rId203" Type="http://schemas.openxmlformats.org/officeDocument/2006/relationships/hyperlink" Target="https://hawsons.com.au/" TargetMode="External"/><Relationship Id="rId19" Type="http://schemas.openxmlformats.org/officeDocument/2006/relationships/hyperlink" Target="https://magironusa.com/" TargetMode="External"/><Relationship Id="rId224" Type="http://schemas.openxmlformats.org/officeDocument/2006/relationships/hyperlink" Target="https://announcements.asx.com.au/asxpdf/20210705/pdf/44y0fwc23vzhn0.pdf" TargetMode="External"/><Relationship Id="rId245" Type="http://schemas.openxmlformats.org/officeDocument/2006/relationships/hyperlink" Target="https://nordiciron.se/verksamhet/vara-omraden/blotberget/" TargetMode="External"/><Relationship Id="rId30" Type="http://schemas.openxmlformats.org/officeDocument/2006/relationships/hyperlink" Target="https://www.grangex.se/en/wp-content/uploads/sites/2/2021/10/sydvaranger-drift-as-dfs-exec-summary.pdf" TargetMode="External"/><Relationship Id="rId105" Type="http://schemas.openxmlformats.org/officeDocument/2006/relationships/hyperlink" Target="https://braziliron.com.br/en/ferro-verde-na-chapadadiamantina/" TargetMode="External"/><Relationship Id="rId126" Type="http://schemas.openxmlformats.org/officeDocument/2006/relationships/hyperlink" Target="https://www.baffinland.com/media-centre/news-releases/baffinland-moves-forward-with-steensby-component-of-the-mary-river-project--cleared-to-begin-construction" TargetMode="External"/><Relationship Id="rId147" Type="http://schemas.openxmlformats.org/officeDocument/2006/relationships/hyperlink" Target="https://minedocs.com/26/Casa-de-Pedra-TRS-FINAL-10202022.pdf" TargetMode="External"/><Relationship Id="rId168" Type="http://schemas.openxmlformats.org/officeDocument/2006/relationships/hyperlink" Target="https://ranagruber.no/" TargetMode="External"/><Relationship Id="rId51" Type="http://schemas.openxmlformats.org/officeDocument/2006/relationships/hyperlink" Target="https://centuryglobal.ca/projects/full-moon-project/" TargetMode="External"/><Relationship Id="rId72" Type="http://schemas.openxmlformats.org/officeDocument/2006/relationships/hyperlink" Target="https://storage.mfn.se/22e289d6-fbea-4433-b9f7-16c20e73b5d0/grangex-investor-pres-f.pdf" TargetMode="External"/><Relationship Id="rId93" Type="http://schemas.openxmlformats.org/officeDocument/2006/relationships/hyperlink" Target="https://hightideresources.com/investors/presentations/" TargetMode="External"/><Relationship Id="rId189" Type="http://schemas.openxmlformats.org/officeDocument/2006/relationships/hyperlink" Target="https://www.vale.com/" TargetMode="External"/><Relationship Id="rId3" Type="http://schemas.openxmlformats.org/officeDocument/2006/relationships/hyperlink" Target="https://cerradogold.com/images/pdf/Presentations/2025/Mont-Sorcier-Presentation-v1.pdf" TargetMode="External"/><Relationship Id="rId214" Type="http://schemas.openxmlformats.org/officeDocument/2006/relationships/hyperlink" Target="https://www.aspecthuntley.com.au/asxdata/20230117/pdf/02621615.pdf" TargetMode="External"/><Relationship Id="rId235" Type="http://schemas.openxmlformats.org/officeDocument/2006/relationships/hyperlink" Target="https://wcsecure.weblink.com.au/pdf/LML/02787328.pdf" TargetMode="External"/><Relationship Id="rId116" Type="http://schemas.openxmlformats.org/officeDocument/2006/relationships/hyperlink" Target="https://announcements.asx.com.au/asxpdf/20151126/pdf/433bsghfwl7x7r.pdf" TargetMode="External"/><Relationship Id="rId137" Type="http://schemas.openxmlformats.org/officeDocument/2006/relationships/hyperlink" Target="https://www.angloamericankumba.com/" TargetMode="External"/><Relationship Id="rId158" Type="http://schemas.openxmlformats.org/officeDocument/2006/relationships/hyperlink" Target="https://metinvestholding.com/" TargetMode="External"/><Relationship Id="rId20" Type="http://schemas.openxmlformats.org/officeDocument/2006/relationships/hyperlink" Target="https://magironusa.com/" TargetMode="External"/><Relationship Id="rId41" Type="http://schemas.openxmlformats.org/officeDocument/2006/relationships/hyperlink" Target="https://www.genmingroup.com/" TargetMode="External"/><Relationship Id="rId62" Type="http://schemas.openxmlformats.org/officeDocument/2006/relationships/hyperlink" Target="https://ivanhoeatlantic.com/key-environmental-approvals-secured-liberia/" TargetMode="External"/><Relationship Id="rId83" Type="http://schemas.openxmlformats.org/officeDocument/2006/relationships/hyperlink" Target="https://www.centaurus.com.au/site/PDF/e4290ac9-e55d-4ff9-893c-d4708aecb9bf/JambreiroPreFeasibilityStudyannouncement" TargetMode="External"/><Relationship Id="rId179" Type="http://schemas.openxmlformats.org/officeDocument/2006/relationships/hyperlink" Target="https://www.barlowmetal.ca/components/com_gdwgestion/download.php?fileid=406" TargetMode="External"/><Relationship Id="rId190" Type="http://schemas.openxmlformats.org/officeDocument/2006/relationships/hyperlink" Target="https://api.mziq.com/mzfilemanager/v2/d/53207d1c-63b4-48f1-96b7-19869fae19fe/52596bfd-eed8-6b4a-ce2d-6e4bc02d7353?origin=2" TargetMode="External"/><Relationship Id="rId204" Type="http://schemas.openxmlformats.org/officeDocument/2006/relationships/hyperlink" Target="https://hawsons.com.au/hawsons-iron-project/" TargetMode="External"/><Relationship Id="rId225" Type="http://schemas.openxmlformats.org/officeDocument/2006/relationships/hyperlink" Target="https://api.investi.com.au/api/announcements/mgt/d8765f08-e90.pdf" TargetMode="External"/><Relationship Id="rId246" Type="http://schemas.openxmlformats.org/officeDocument/2006/relationships/hyperlink" Target="https://redparamount.ca/lac-virot-project/" TargetMode="External"/><Relationship Id="rId106" Type="http://schemas.openxmlformats.org/officeDocument/2006/relationships/hyperlink" Target="https://braziliron.com.br/en/brazil-iron-announces-1-7-billion-tonne-ni-43-101-resource-strengthening-foundation-for-5-mtpa-hbi-project/" TargetMode="External"/><Relationship Id="rId127" Type="http://schemas.openxmlformats.org/officeDocument/2006/relationships/hyperlink" Target="https://rockexmining.com/i/pdf/Technical-Report-Oct2015.pdf" TargetMode="External"/><Relationship Id="rId10" Type="http://schemas.openxmlformats.org/officeDocument/2006/relationships/hyperlink" Target="https://oceanicironore.com/" TargetMode="External"/><Relationship Id="rId31" Type="http://schemas.openxmlformats.org/officeDocument/2006/relationships/hyperlink" Target="https://www.grangex.se/en/wp-content/uploads/sites/2/2021/10/sydvaranger-drift-as-dfs-exec-summary.pdf" TargetMode="External"/><Relationship Id="rId52" Type="http://schemas.openxmlformats.org/officeDocument/2006/relationships/hyperlink" Target="http://centuryglobal.ca/wp-content/uploads/2015/10/TR_PEA_2015-04-14_FullMoon.pdf" TargetMode="External"/><Relationship Id="rId73" Type="http://schemas.openxmlformats.org/officeDocument/2006/relationships/hyperlink" Target="https://blackiron.com/wp-content/uploads/2021/07/202003-Black-Iron-Amended-PEA.pdf" TargetMode="External"/><Relationship Id="rId94" Type="http://schemas.openxmlformats.org/officeDocument/2006/relationships/hyperlink" Target="https://blackiron.com/wp-content/uploads/2021/07/202003-Black-Iron-Amended-PEA.pdf" TargetMode="External"/><Relationship Id="rId148" Type="http://schemas.openxmlformats.org/officeDocument/2006/relationships/hyperlink" Target="https://lkab.mediaflowportal.com/documents/folder/231556/" TargetMode="External"/><Relationship Id="rId169" Type="http://schemas.openxmlformats.org/officeDocument/2006/relationships/hyperlink" Target="https://beowulfmining.com/" TargetMode="External"/><Relationship Id="rId4" Type="http://schemas.openxmlformats.org/officeDocument/2006/relationships/hyperlink" Target="https://www.championiron.com/wp-content/uploads/2024/03/2024-03-14-champion-iron-pre-feasibility-study-for-the-kamistiatusset-kami-iron-ore-property.pdf" TargetMode="External"/><Relationship Id="rId180" Type="http://schemas.openxmlformats.org/officeDocument/2006/relationships/hyperlink" Target="https://img1.wsimg.com/blobby/go/361b3a26-41ef-4cf5-a8fa-3bd92d5dc622/downloads/2e7b4551-f83a-4d4f-9737-0e1649c8fc26/MagIron%20Announces%20Completion%20of%20Feasibility%20St.pdf?v=021508?ver=1768426688799%20https://img1.wsimg.com/blobby/go/361b3a26-41ef-4cf5-a8fa-3bd92d5dc622/downloads/54edfe9b-40fc-4735-a4e1-7594430c4cee/24-001%20MagIron%20(Plant%204)%20Executive%20Summary%2013%20.pdf?v=021508?ver=1768426688799" TargetMode="External"/><Relationship Id="rId215" Type="http://schemas.openxmlformats.org/officeDocument/2006/relationships/hyperlink" Target="https://athenaresources.com.au/wp-content/uploads/2024/05/Athena-Scoping-Study-May-2024-web8893-1.pdf" TargetMode="External"/><Relationship Id="rId236" Type="http://schemas.openxmlformats.org/officeDocument/2006/relationships/hyperlink" Target="https://wcsecure.weblink.com.au/pdf/LML/02787328.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spglobal.com/commodityinsights/PlattsContent/_assets/_files/en/our-methodology/methodology-specifications/global_iron_ore.pdf" TargetMode="External"/><Relationship Id="rId1" Type="http://schemas.openxmlformats.org/officeDocument/2006/relationships/hyperlink" Target="https://www.fastmarkets.com/methodology/metals/iron-ore-ind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C6BD-C4A0-4569-83A5-962029335EA3}">
  <sheetPr>
    <outlinePr summaryBelow="0" summaryRight="0"/>
  </sheetPr>
  <dimension ref="A1:Z84"/>
  <sheetViews>
    <sheetView showGridLines="0" zoomScaleNormal="100" workbookViewId="0">
      <selection activeCell="B2" sqref="B2"/>
    </sheetView>
  </sheetViews>
  <sheetFormatPr defaultColWidth="14.42578125" defaultRowHeight="15.75" customHeight="1" x14ac:dyDescent="0.2"/>
  <cols>
    <col min="1" max="1" width="1.140625" style="7" customWidth="1"/>
    <col min="2" max="2" width="27" style="7" customWidth="1"/>
    <col min="3" max="3" width="32" style="7" customWidth="1"/>
    <col min="4" max="4" width="18.7109375" style="7" customWidth="1"/>
    <col min="5" max="5" width="14.42578125" style="7"/>
    <col min="6" max="8" width="14.28515625" style="7" customWidth="1"/>
    <col min="9" max="9" width="14.42578125" style="7"/>
    <col min="10" max="10" width="15.42578125" style="7" customWidth="1"/>
    <col min="11" max="16384" width="14.42578125" style="7"/>
  </cols>
  <sheetData>
    <row r="1" spans="1:26" ht="6" customHeight="1" x14ac:dyDescent="0.2"/>
    <row r="2" spans="1:26" ht="21.75" customHeight="1" x14ac:dyDescent="0.35">
      <c r="A2" s="8"/>
      <c r="B2" s="44" t="s">
        <v>705</v>
      </c>
      <c r="C2" s="9"/>
      <c r="D2" s="9"/>
      <c r="E2" s="9"/>
      <c r="F2" s="9"/>
      <c r="G2" s="9"/>
      <c r="H2" s="9"/>
      <c r="I2" s="9"/>
      <c r="J2" s="10"/>
      <c r="K2" s="8"/>
      <c r="L2" s="8"/>
      <c r="M2" s="8"/>
      <c r="N2" s="8"/>
      <c r="O2" s="8"/>
      <c r="P2" s="8"/>
      <c r="Q2" s="8"/>
      <c r="R2" s="8"/>
      <c r="S2" s="8"/>
      <c r="T2" s="8"/>
      <c r="U2" s="8"/>
      <c r="V2" s="8"/>
      <c r="W2" s="8"/>
      <c r="X2" s="8"/>
      <c r="Y2" s="8"/>
      <c r="Z2" s="8"/>
    </row>
    <row r="3" spans="1:26" ht="17.25" customHeight="1" x14ac:dyDescent="0.25">
      <c r="A3" s="8"/>
      <c r="B3" s="11"/>
      <c r="C3" s="8"/>
      <c r="D3" s="8"/>
      <c r="E3" s="8"/>
      <c r="F3" s="8"/>
      <c r="G3" s="8"/>
      <c r="H3" s="8"/>
      <c r="I3" s="8"/>
      <c r="J3" s="12"/>
      <c r="K3" s="8"/>
      <c r="L3" s="8"/>
      <c r="M3" s="8"/>
      <c r="N3" s="8"/>
      <c r="O3" s="8"/>
      <c r="P3" s="8"/>
      <c r="Q3" s="8"/>
      <c r="R3" s="8"/>
      <c r="S3" s="8"/>
      <c r="T3" s="8"/>
      <c r="U3" s="8"/>
      <c r="V3" s="8"/>
      <c r="W3" s="8"/>
      <c r="X3" s="8"/>
      <c r="Y3" s="8"/>
      <c r="Z3" s="8"/>
    </row>
    <row r="4" spans="1:26" ht="15.75" customHeight="1" x14ac:dyDescent="0.25">
      <c r="A4" s="8"/>
      <c r="B4" s="13" t="s">
        <v>430</v>
      </c>
      <c r="C4" s="14">
        <v>2</v>
      </c>
      <c r="D4" s="8"/>
      <c r="E4" s="8"/>
      <c r="F4" s="8"/>
      <c r="G4" s="8"/>
      <c r="H4" s="8"/>
      <c r="I4" s="8"/>
      <c r="J4" s="12"/>
      <c r="K4" s="8"/>
      <c r="L4" s="8"/>
      <c r="M4" s="8"/>
      <c r="N4" s="8"/>
      <c r="O4" s="8"/>
      <c r="P4" s="8"/>
      <c r="Q4" s="8"/>
      <c r="R4" s="8"/>
      <c r="S4" s="8"/>
      <c r="T4" s="8"/>
      <c r="U4" s="8"/>
      <c r="V4" s="8"/>
      <c r="W4" s="8"/>
      <c r="X4" s="8"/>
      <c r="Y4" s="8"/>
      <c r="Z4" s="8"/>
    </row>
    <row r="5" spans="1:26" ht="15.75" customHeight="1" x14ac:dyDescent="0.25">
      <c r="B5" s="13" t="s">
        <v>431</v>
      </c>
      <c r="C5" s="15">
        <v>46086</v>
      </c>
      <c r="E5" s="16"/>
      <c r="J5" s="17"/>
    </row>
    <row r="6" spans="1:26" ht="15.75" customHeight="1" x14ac:dyDescent="0.2">
      <c r="B6" s="18"/>
      <c r="C6" s="19"/>
      <c r="E6" s="16"/>
      <c r="J6" s="17"/>
    </row>
    <row r="7" spans="1:26" ht="15.75" customHeight="1" x14ac:dyDescent="0.25">
      <c r="B7" s="20" t="s">
        <v>432</v>
      </c>
      <c r="C7" s="21"/>
      <c r="D7" s="22"/>
      <c r="E7" s="23"/>
      <c r="F7" s="22"/>
      <c r="G7" s="22"/>
      <c r="H7" s="22"/>
      <c r="I7" s="22"/>
      <c r="J7" s="24"/>
    </row>
    <row r="8" spans="1:26" ht="15.75" customHeight="1" x14ac:dyDescent="0.2">
      <c r="B8" s="111" t="s">
        <v>802</v>
      </c>
      <c r="C8" s="112"/>
      <c r="D8" s="112"/>
      <c r="E8" s="112"/>
      <c r="F8" s="112"/>
      <c r="G8" s="112"/>
      <c r="H8" s="112"/>
      <c r="I8" s="112"/>
      <c r="J8" s="113"/>
    </row>
    <row r="9" spans="1:26" ht="15.75" customHeight="1" x14ac:dyDescent="0.2">
      <c r="B9" s="111"/>
      <c r="C9" s="112"/>
      <c r="D9" s="112"/>
      <c r="E9" s="112"/>
      <c r="F9" s="112"/>
      <c r="G9" s="112"/>
      <c r="H9" s="112"/>
      <c r="I9" s="112"/>
      <c r="J9" s="113"/>
    </row>
    <row r="10" spans="1:26" ht="15.75" customHeight="1" x14ac:dyDescent="0.2">
      <c r="B10" s="111"/>
      <c r="C10" s="112"/>
      <c r="D10" s="112"/>
      <c r="E10" s="112"/>
      <c r="F10" s="112"/>
      <c r="G10" s="112"/>
      <c r="H10" s="112"/>
      <c r="I10" s="112"/>
      <c r="J10" s="113"/>
    </row>
    <row r="11" spans="1:26" ht="15.75" customHeight="1" x14ac:dyDescent="0.2">
      <c r="B11" s="111"/>
      <c r="C11" s="112"/>
      <c r="D11" s="112"/>
      <c r="E11" s="112"/>
      <c r="F11" s="112"/>
      <c r="G11" s="112"/>
      <c r="H11" s="112"/>
      <c r="I11" s="112"/>
      <c r="J11" s="113"/>
    </row>
    <row r="12" spans="1:26" ht="15.75" customHeight="1" x14ac:dyDescent="0.2">
      <c r="B12" s="111"/>
      <c r="C12" s="112"/>
      <c r="D12" s="112"/>
      <c r="E12" s="112"/>
      <c r="F12" s="112"/>
      <c r="G12" s="112"/>
      <c r="H12" s="112"/>
      <c r="I12" s="112"/>
      <c r="J12" s="113"/>
    </row>
    <row r="13" spans="1:26" ht="15.75" customHeight="1" x14ac:dyDescent="0.2">
      <c r="B13" s="111"/>
      <c r="C13" s="112"/>
      <c r="D13" s="112"/>
      <c r="E13" s="112"/>
      <c r="F13" s="112"/>
      <c r="G13" s="112"/>
      <c r="H13" s="112"/>
      <c r="I13" s="112"/>
      <c r="J13" s="113"/>
    </row>
    <row r="14" spans="1:26" ht="15.75" customHeight="1" x14ac:dyDescent="0.2">
      <c r="B14" s="111"/>
      <c r="C14" s="112"/>
      <c r="D14" s="112"/>
      <c r="E14" s="112"/>
      <c r="F14" s="112"/>
      <c r="G14" s="112"/>
      <c r="H14" s="112"/>
      <c r="I14" s="112"/>
      <c r="J14" s="113"/>
    </row>
    <row r="15" spans="1:26" ht="15.75" customHeight="1" x14ac:dyDescent="0.2">
      <c r="B15" s="111"/>
      <c r="C15" s="112"/>
      <c r="D15" s="112"/>
      <c r="E15" s="112"/>
      <c r="F15" s="112"/>
      <c r="G15" s="112"/>
      <c r="H15" s="112"/>
      <c r="I15" s="112"/>
      <c r="J15" s="113"/>
    </row>
    <row r="16" spans="1:26" ht="15.75" customHeight="1" x14ac:dyDescent="0.2">
      <c r="B16" s="111"/>
      <c r="C16" s="112"/>
      <c r="D16" s="112"/>
      <c r="E16" s="112"/>
      <c r="F16" s="112"/>
      <c r="G16" s="112"/>
      <c r="H16" s="112"/>
      <c r="I16" s="112"/>
      <c r="J16" s="113"/>
    </row>
    <row r="17" spans="2:10" ht="15.75" customHeight="1" x14ac:dyDescent="0.2">
      <c r="B17" s="111"/>
      <c r="C17" s="112"/>
      <c r="D17" s="112"/>
      <c r="E17" s="112"/>
      <c r="F17" s="112"/>
      <c r="G17" s="112"/>
      <c r="H17" s="112"/>
      <c r="I17" s="112"/>
      <c r="J17" s="113"/>
    </row>
    <row r="18" spans="2:10" ht="15.75" customHeight="1" x14ac:dyDescent="0.25">
      <c r="B18" s="20" t="s">
        <v>706</v>
      </c>
      <c r="C18" s="21"/>
      <c r="D18" s="25"/>
      <c r="E18" s="23"/>
      <c r="F18" s="22"/>
      <c r="G18" s="22"/>
      <c r="H18" s="22"/>
      <c r="I18" s="22"/>
      <c r="J18" s="24"/>
    </row>
    <row r="19" spans="2:10" ht="15.75" customHeight="1" x14ac:dyDescent="0.2">
      <c r="B19" s="26" t="s">
        <v>426</v>
      </c>
      <c r="C19" s="27" t="s">
        <v>427</v>
      </c>
      <c r="J19" s="17"/>
    </row>
    <row r="20" spans="2:10" ht="15.75" customHeight="1" x14ac:dyDescent="0.2">
      <c r="B20" s="28" t="s">
        <v>707</v>
      </c>
      <c r="C20" s="29" t="s">
        <v>434</v>
      </c>
      <c r="D20" s="29"/>
      <c r="J20" s="17"/>
    </row>
    <row r="21" spans="2:10" ht="15.75" customHeight="1" x14ac:dyDescent="0.2">
      <c r="B21" s="28" t="s">
        <v>708</v>
      </c>
      <c r="C21" s="29" t="s">
        <v>436</v>
      </c>
      <c r="D21" s="29"/>
      <c r="J21" s="17"/>
    </row>
    <row r="22" spans="2:10" ht="15.75" customHeight="1" x14ac:dyDescent="0.2">
      <c r="B22" s="28" t="s">
        <v>709</v>
      </c>
      <c r="C22" s="29" t="s">
        <v>598</v>
      </c>
      <c r="D22" s="29"/>
      <c r="J22" s="17"/>
    </row>
    <row r="23" spans="2:10" ht="15.75" customHeight="1" x14ac:dyDescent="0.2">
      <c r="B23" s="28"/>
      <c r="C23" s="30" t="s">
        <v>607</v>
      </c>
      <c r="D23" s="29"/>
      <c r="J23" s="17"/>
    </row>
    <row r="24" spans="2:10" ht="15.75" customHeight="1" x14ac:dyDescent="0.2">
      <c r="B24" s="28"/>
      <c r="C24" s="30" t="s">
        <v>741</v>
      </c>
      <c r="D24" s="29"/>
      <c r="J24" s="17"/>
    </row>
    <row r="25" spans="2:10" ht="15.75" customHeight="1" x14ac:dyDescent="0.2">
      <c r="B25" s="31"/>
      <c r="C25" s="30" t="s">
        <v>599</v>
      </c>
      <c r="D25" s="29"/>
      <c r="J25" s="17"/>
    </row>
    <row r="26" spans="2:10" ht="15.75" customHeight="1" x14ac:dyDescent="0.2">
      <c r="B26" s="31"/>
      <c r="C26" s="30" t="s">
        <v>723</v>
      </c>
      <c r="D26" s="29"/>
      <c r="J26" s="17"/>
    </row>
    <row r="27" spans="2:10" ht="15.75" customHeight="1" x14ac:dyDescent="0.2">
      <c r="B27" s="73" t="s">
        <v>710</v>
      </c>
      <c r="C27" s="29" t="s">
        <v>651</v>
      </c>
      <c r="D27" s="29"/>
      <c r="J27" s="17"/>
    </row>
    <row r="28" spans="2:10" ht="15.75" customHeight="1" x14ac:dyDescent="0.2">
      <c r="B28" s="31"/>
      <c r="C28" s="30"/>
      <c r="D28" s="29"/>
      <c r="J28" s="17"/>
    </row>
    <row r="29" spans="2:10" ht="15.75" customHeight="1" x14ac:dyDescent="0.2">
      <c r="B29" s="31"/>
      <c r="C29" s="30"/>
      <c r="D29" s="29"/>
      <c r="J29" s="17"/>
    </row>
    <row r="30" spans="2:10" ht="15.75" customHeight="1" x14ac:dyDescent="0.25">
      <c r="B30" s="20" t="s">
        <v>712</v>
      </c>
      <c r="C30" s="21"/>
      <c r="D30" s="25"/>
      <c r="E30" s="23"/>
      <c r="F30" s="22"/>
      <c r="G30" s="22"/>
      <c r="H30" s="22"/>
      <c r="I30" s="22"/>
      <c r="J30" s="24"/>
    </row>
    <row r="31" spans="2:10" ht="15.75" customHeight="1" x14ac:dyDescent="0.2">
      <c r="B31" s="117" t="s">
        <v>711</v>
      </c>
      <c r="C31" s="118"/>
      <c r="D31" s="118"/>
      <c r="E31" s="118"/>
      <c r="F31" s="118"/>
      <c r="G31" s="118"/>
      <c r="H31" s="118"/>
      <c r="I31" s="118"/>
      <c r="J31" s="119"/>
    </row>
    <row r="32" spans="2:10" ht="15.75" customHeight="1" x14ac:dyDescent="0.2">
      <c r="B32" s="117"/>
      <c r="C32" s="118"/>
      <c r="D32" s="118"/>
      <c r="E32" s="118"/>
      <c r="F32" s="118"/>
      <c r="G32" s="118"/>
      <c r="H32" s="118"/>
      <c r="I32" s="118"/>
      <c r="J32" s="119"/>
    </row>
    <row r="33" spans="2:10" ht="15.75" customHeight="1" x14ac:dyDescent="0.2">
      <c r="B33" s="117"/>
      <c r="C33" s="118"/>
      <c r="D33" s="118"/>
      <c r="E33" s="118"/>
      <c r="F33" s="118"/>
      <c r="G33" s="118"/>
      <c r="H33" s="118"/>
      <c r="I33" s="118"/>
      <c r="J33" s="119"/>
    </row>
    <row r="34" spans="2:10" ht="15.75" customHeight="1" x14ac:dyDescent="0.2">
      <c r="B34" s="68"/>
      <c r="C34" s="69"/>
      <c r="D34" s="69"/>
      <c r="E34" s="69"/>
      <c r="F34" s="69"/>
      <c r="G34" s="69"/>
      <c r="H34" s="69"/>
      <c r="I34" s="69"/>
      <c r="J34" s="70"/>
    </row>
    <row r="35" spans="2:10" ht="15.75" customHeight="1" x14ac:dyDescent="0.25">
      <c r="B35" s="20" t="s">
        <v>713</v>
      </c>
      <c r="C35" s="21"/>
      <c r="D35" s="22"/>
      <c r="E35" s="23"/>
      <c r="F35" s="22"/>
      <c r="G35" s="22"/>
      <c r="H35" s="22"/>
      <c r="I35" s="22"/>
      <c r="J35" s="24"/>
    </row>
    <row r="36" spans="2:10" ht="15.75" customHeight="1" x14ac:dyDescent="0.2">
      <c r="B36" s="111" t="s">
        <v>608</v>
      </c>
      <c r="C36" s="112"/>
      <c r="D36" s="112"/>
      <c r="E36" s="112"/>
      <c r="F36" s="112"/>
      <c r="G36" s="112"/>
      <c r="H36" s="112"/>
      <c r="I36" s="112"/>
      <c r="J36" s="113"/>
    </row>
    <row r="37" spans="2:10" ht="15" customHeight="1" x14ac:dyDescent="0.2">
      <c r="B37" s="111"/>
      <c r="C37" s="112"/>
      <c r="D37" s="112"/>
      <c r="E37" s="112"/>
      <c r="F37" s="112"/>
      <c r="G37" s="112"/>
      <c r="H37" s="112"/>
      <c r="I37" s="112"/>
      <c r="J37" s="113"/>
    </row>
    <row r="38" spans="2:10" ht="15.75" customHeight="1" x14ac:dyDescent="0.2">
      <c r="B38" s="111"/>
      <c r="C38" s="112"/>
      <c r="D38" s="112"/>
      <c r="E38" s="112"/>
      <c r="F38" s="112"/>
      <c r="G38" s="112"/>
      <c r="H38" s="112"/>
      <c r="I38" s="112"/>
      <c r="J38" s="113"/>
    </row>
    <row r="39" spans="2:10" ht="15.75" customHeight="1" x14ac:dyDescent="0.2">
      <c r="B39" s="114" t="s">
        <v>714</v>
      </c>
      <c r="C39" s="115"/>
      <c r="D39" s="115"/>
      <c r="E39" s="115"/>
      <c r="F39" s="115"/>
      <c r="G39" s="115"/>
      <c r="H39" s="115"/>
      <c r="I39" s="115"/>
      <c r="J39" s="116"/>
    </row>
    <row r="40" spans="2:10" ht="15.75" customHeight="1" x14ac:dyDescent="0.2">
      <c r="B40" s="114"/>
      <c r="C40" s="115"/>
      <c r="D40" s="115"/>
      <c r="E40" s="115"/>
      <c r="F40" s="115"/>
      <c r="G40" s="115"/>
      <c r="H40" s="115"/>
      <c r="I40" s="115"/>
      <c r="J40" s="116"/>
    </row>
    <row r="41" spans="2:10" ht="15.75" customHeight="1" x14ac:dyDescent="0.25">
      <c r="B41" s="71" t="s">
        <v>143</v>
      </c>
      <c r="C41" s="5" t="s">
        <v>141</v>
      </c>
      <c r="D41" s="5" t="s">
        <v>142</v>
      </c>
      <c r="E41" s="5" t="s">
        <v>715</v>
      </c>
      <c r="F41" s="42"/>
      <c r="G41" s="5" t="s">
        <v>650</v>
      </c>
      <c r="H41" s="42"/>
      <c r="I41" s="42"/>
      <c r="J41" s="72"/>
    </row>
    <row r="42" spans="2:10" ht="15.75" customHeight="1" x14ac:dyDescent="0.2">
      <c r="B42" s="32"/>
      <c r="J42" s="17"/>
    </row>
    <row r="43" spans="2:10" ht="15.75" customHeight="1" x14ac:dyDescent="0.25">
      <c r="B43" s="45" t="s">
        <v>425</v>
      </c>
      <c r="C43" s="46"/>
      <c r="D43" s="46"/>
      <c r="E43" s="46"/>
      <c r="F43" s="46"/>
      <c r="G43" s="46"/>
      <c r="H43" s="46"/>
      <c r="I43" s="46"/>
      <c r="J43" s="47"/>
    </row>
    <row r="44" spans="2:10" ht="15.75" customHeight="1" x14ac:dyDescent="0.25">
      <c r="B44" s="45" t="s">
        <v>1176</v>
      </c>
      <c r="C44" s="46"/>
      <c r="D44" s="46"/>
      <c r="E44" s="46"/>
      <c r="F44" s="46"/>
      <c r="G44" s="46"/>
      <c r="H44" s="46" t="s">
        <v>1177</v>
      </c>
      <c r="I44" s="46"/>
      <c r="J44" s="47"/>
    </row>
    <row r="45" spans="2:10" ht="16.899999999999999" customHeight="1" x14ac:dyDescent="0.2">
      <c r="B45" s="40" t="s">
        <v>717</v>
      </c>
      <c r="H45" s="75" t="s">
        <v>717</v>
      </c>
      <c r="J45" s="17"/>
    </row>
    <row r="46" spans="2:10" ht="15.75" customHeight="1" x14ac:dyDescent="0.2">
      <c r="B46" s="40" t="s">
        <v>718</v>
      </c>
      <c r="H46" s="75" t="s">
        <v>718</v>
      </c>
      <c r="J46" s="17"/>
    </row>
    <row r="47" spans="2:10" ht="15.75" customHeight="1" x14ac:dyDescent="0.2">
      <c r="B47" s="40" t="s">
        <v>719</v>
      </c>
      <c r="H47" s="75" t="s">
        <v>844</v>
      </c>
      <c r="J47" s="17"/>
    </row>
    <row r="48" spans="2:10" ht="15.75" customHeight="1" x14ac:dyDescent="0.2">
      <c r="B48" s="40" t="s">
        <v>720</v>
      </c>
      <c r="H48" s="75" t="s">
        <v>843</v>
      </c>
      <c r="J48" s="17"/>
    </row>
    <row r="49" spans="2:10" ht="15.75" customHeight="1" x14ac:dyDescent="0.2">
      <c r="B49" s="40" t="s">
        <v>721</v>
      </c>
      <c r="H49" s="75" t="s">
        <v>738</v>
      </c>
      <c r="J49" s="17"/>
    </row>
    <row r="50" spans="2:10" ht="15.75" customHeight="1" x14ac:dyDescent="0.2">
      <c r="B50" s="40" t="s">
        <v>738</v>
      </c>
      <c r="H50" s="75" t="s">
        <v>845</v>
      </c>
      <c r="J50" s="17"/>
    </row>
    <row r="51" spans="2:10" ht="15.75" customHeight="1" x14ac:dyDescent="0.2">
      <c r="B51" s="40" t="s">
        <v>722</v>
      </c>
      <c r="J51" s="17"/>
    </row>
    <row r="52" spans="2:10" ht="15.75" customHeight="1" x14ac:dyDescent="0.2">
      <c r="B52" s="40"/>
      <c r="J52" s="17"/>
    </row>
    <row r="53" spans="2:10" ht="15.75" customHeight="1" x14ac:dyDescent="0.2">
      <c r="B53" s="40" t="s">
        <v>716</v>
      </c>
      <c r="J53" s="17"/>
    </row>
    <row r="54" spans="2:10" ht="15.75" customHeight="1" x14ac:dyDescent="0.25">
      <c r="B54" s="45" t="s">
        <v>600</v>
      </c>
      <c r="C54" s="46"/>
      <c r="D54" s="46"/>
      <c r="E54" s="46"/>
      <c r="F54" s="46"/>
      <c r="G54" s="46"/>
      <c r="H54" s="46"/>
      <c r="I54" s="46"/>
      <c r="J54" s="47"/>
    </row>
    <row r="55" spans="2:10" ht="15.75" customHeight="1" x14ac:dyDescent="0.2">
      <c r="B55" s="32" t="s">
        <v>735</v>
      </c>
      <c r="J55" s="17"/>
    </row>
    <row r="56" spans="2:10" ht="15.75" customHeight="1" x14ac:dyDescent="0.2">
      <c r="B56" s="32" t="s">
        <v>718</v>
      </c>
      <c r="J56" s="17"/>
    </row>
    <row r="57" spans="2:10" ht="15.75" customHeight="1" x14ac:dyDescent="0.2">
      <c r="B57" s="32" t="s">
        <v>736</v>
      </c>
      <c r="J57" s="17"/>
    </row>
    <row r="58" spans="2:10" ht="15.75" customHeight="1" x14ac:dyDescent="0.2">
      <c r="B58" s="32" t="s">
        <v>751</v>
      </c>
      <c r="J58" s="17"/>
    </row>
    <row r="59" spans="2:10" ht="14.25" x14ac:dyDescent="0.2">
      <c r="B59" s="32" t="s">
        <v>737</v>
      </c>
      <c r="C59" s="33"/>
      <c r="J59" s="17"/>
    </row>
    <row r="60" spans="2:10" ht="15.75" customHeight="1" x14ac:dyDescent="0.2">
      <c r="B60" s="32" t="s">
        <v>474</v>
      </c>
      <c r="J60" s="17"/>
    </row>
    <row r="61" spans="2:10" ht="15.75" customHeight="1" x14ac:dyDescent="0.2">
      <c r="B61" s="32"/>
      <c r="J61" s="17"/>
    </row>
    <row r="62" spans="2:10" ht="15.75" customHeight="1" x14ac:dyDescent="0.25">
      <c r="B62" s="20" t="s">
        <v>734</v>
      </c>
      <c r="C62" s="21"/>
      <c r="D62" s="22"/>
      <c r="E62" s="23"/>
      <c r="F62" s="22"/>
      <c r="G62" s="22"/>
      <c r="H62" s="22"/>
      <c r="I62" s="22"/>
      <c r="J62" s="24"/>
    </row>
    <row r="63" spans="2:10" ht="15.75" customHeight="1" x14ac:dyDescent="0.2">
      <c r="B63" s="48" t="s">
        <v>606</v>
      </c>
      <c r="C63" s="49" t="s">
        <v>803</v>
      </c>
      <c r="D63" s="41"/>
      <c r="E63" s="42"/>
      <c r="F63" s="42"/>
      <c r="G63" s="42"/>
      <c r="H63" s="42"/>
      <c r="J63" s="17"/>
    </row>
    <row r="64" spans="2:10" ht="15.75" customHeight="1" x14ac:dyDescent="0.2">
      <c r="B64" s="48" t="s">
        <v>740</v>
      </c>
      <c r="C64" s="49" t="s">
        <v>724</v>
      </c>
      <c r="D64" s="41"/>
      <c r="E64" s="42"/>
      <c r="F64" s="42"/>
      <c r="G64" s="42"/>
      <c r="H64" s="42"/>
      <c r="J64" s="17"/>
    </row>
    <row r="65" spans="2:10" ht="15.75" customHeight="1" x14ac:dyDescent="0.2">
      <c r="B65" s="48" t="s">
        <v>746</v>
      </c>
      <c r="C65" s="49" t="s">
        <v>747</v>
      </c>
      <c r="D65" s="41"/>
      <c r="E65" s="42"/>
      <c r="F65" s="42"/>
      <c r="G65" s="42"/>
      <c r="H65" s="42"/>
      <c r="J65" s="17"/>
    </row>
    <row r="66" spans="2:10" ht="15.75" customHeight="1" x14ac:dyDescent="0.2">
      <c r="B66" s="48" t="s">
        <v>401</v>
      </c>
      <c r="C66" s="49" t="s">
        <v>725</v>
      </c>
      <c r="D66" s="41"/>
      <c r="E66" s="42"/>
      <c r="F66" s="42"/>
      <c r="G66" s="42"/>
      <c r="H66" s="42"/>
      <c r="J66" s="17"/>
    </row>
    <row r="67" spans="2:10" ht="15.6" customHeight="1" x14ac:dyDescent="0.2">
      <c r="B67" s="48" t="s">
        <v>175</v>
      </c>
      <c r="C67" s="49" t="s">
        <v>726</v>
      </c>
      <c r="D67" s="41"/>
      <c r="E67" s="42"/>
      <c r="F67" s="42"/>
      <c r="G67" s="42"/>
      <c r="H67" s="42"/>
      <c r="J67" s="17"/>
    </row>
    <row r="68" spans="2:10" ht="15.6" customHeight="1" x14ac:dyDescent="0.2">
      <c r="B68" s="48" t="s">
        <v>428</v>
      </c>
      <c r="C68" s="49" t="s">
        <v>727</v>
      </c>
      <c r="D68" s="41"/>
      <c r="E68" s="42"/>
      <c r="F68" s="42"/>
      <c r="G68" s="42"/>
      <c r="H68" s="42"/>
      <c r="J68" s="17"/>
    </row>
    <row r="69" spans="2:10" ht="15.75" customHeight="1" x14ac:dyDescent="0.2">
      <c r="B69" s="48" t="s">
        <v>429</v>
      </c>
      <c r="C69" s="49" t="s">
        <v>728</v>
      </c>
      <c r="D69" s="41"/>
      <c r="E69" s="42"/>
      <c r="F69" s="42"/>
      <c r="G69" s="42"/>
      <c r="H69" s="42"/>
      <c r="J69" s="17"/>
    </row>
    <row r="70" spans="2:10" ht="15.75" customHeight="1" x14ac:dyDescent="0.2">
      <c r="B70" s="48" t="s">
        <v>110</v>
      </c>
      <c r="C70" s="49" t="s">
        <v>111</v>
      </c>
      <c r="D70" s="41"/>
      <c r="E70" s="42"/>
      <c r="F70" s="42"/>
      <c r="G70" s="42"/>
      <c r="H70" s="42"/>
      <c r="J70" s="17"/>
    </row>
    <row r="71" spans="2:10" ht="15.75" customHeight="1" x14ac:dyDescent="0.2">
      <c r="B71" s="48" t="s">
        <v>435</v>
      </c>
      <c r="C71" s="49" t="s">
        <v>729</v>
      </c>
      <c r="D71" s="41"/>
      <c r="E71" s="42"/>
      <c r="F71" s="42"/>
      <c r="G71" s="42"/>
      <c r="H71" s="42"/>
      <c r="J71" s="17"/>
    </row>
    <row r="72" spans="2:10" ht="15.75" customHeight="1" x14ac:dyDescent="0.2">
      <c r="B72" s="48" t="s">
        <v>602</v>
      </c>
      <c r="C72" s="49" t="s">
        <v>730</v>
      </c>
      <c r="D72" s="41"/>
      <c r="E72" s="42"/>
      <c r="F72" s="42"/>
      <c r="G72" s="42"/>
      <c r="H72" s="42"/>
      <c r="J72" s="17"/>
    </row>
    <row r="73" spans="2:10" ht="15.75" customHeight="1" x14ac:dyDescent="0.2">
      <c r="B73" s="48" t="s">
        <v>206</v>
      </c>
      <c r="C73" s="50" t="s">
        <v>605</v>
      </c>
      <c r="D73" s="41"/>
      <c r="E73" s="42"/>
      <c r="F73" s="42"/>
      <c r="G73" s="42"/>
      <c r="H73" s="42"/>
      <c r="J73" s="17"/>
    </row>
    <row r="74" spans="2:10" ht="15.75" customHeight="1" x14ac:dyDescent="0.2">
      <c r="B74" s="48" t="s">
        <v>173</v>
      </c>
      <c r="C74" s="49" t="s">
        <v>731</v>
      </c>
      <c r="D74" s="41"/>
      <c r="E74" s="42"/>
      <c r="F74" s="42"/>
      <c r="G74" s="42"/>
      <c r="H74" s="42"/>
      <c r="J74" s="17"/>
    </row>
    <row r="75" spans="2:10" ht="15.75" customHeight="1" x14ac:dyDescent="0.2">
      <c r="B75" s="48" t="s">
        <v>601</v>
      </c>
      <c r="C75" s="49" t="s">
        <v>732</v>
      </c>
      <c r="D75" s="41"/>
      <c r="E75" s="42"/>
      <c r="F75" s="42"/>
      <c r="G75" s="42"/>
      <c r="H75" s="42"/>
      <c r="J75" s="17"/>
    </row>
    <row r="76" spans="2:10" ht="15.75" customHeight="1" x14ac:dyDescent="0.2">
      <c r="B76" s="48" t="s">
        <v>150</v>
      </c>
      <c r="C76" s="50" t="s">
        <v>174</v>
      </c>
      <c r="D76" s="41"/>
      <c r="E76" s="42"/>
      <c r="F76" s="42"/>
      <c r="G76" s="42"/>
      <c r="H76" s="42"/>
      <c r="J76" s="17"/>
    </row>
    <row r="77" spans="2:10" ht="15.75" customHeight="1" x14ac:dyDescent="0.2">
      <c r="B77" s="48" t="s">
        <v>151</v>
      </c>
      <c r="C77" s="49" t="s">
        <v>603</v>
      </c>
      <c r="D77" s="41"/>
      <c r="E77" s="42"/>
      <c r="F77" s="42"/>
      <c r="G77" s="42"/>
      <c r="H77" s="42"/>
      <c r="J77" s="17"/>
    </row>
    <row r="78" spans="2:10" ht="15.75" customHeight="1" x14ac:dyDescent="0.2">
      <c r="B78" s="48" t="s">
        <v>739</v>
      </c>
      <c r="C78" s="49" t="s">
        <v>733</v>
      </c>
      <c r="J78" s="17"/>
    </row>
    <row r="79" spans="2:10" ht="15.75" customHeight="1" x14ac:dyDescent="0.2">
      <c r="B79" s="34" t="s">
        <v>787</v>
      </c>
      <c r="C79" s="35">
        <v>0.7</v>
      </c>
      <c r="J79" s="17"/>
    </row>
    <row r="80" spans="2:10" ht="15.75" customHeight="1" x14ac:dyDescent="0.2">
      <c r="B80" s="34"/>
      <c r="C80" s="35"/>
      <c r="J80" s="17"/>
    </row>
    <row r="81" spans="2:10" ht="15.75" customHeight="1" x14ac:dyDescent="0.25">
      <c r="B81" s="20" t="s">
        <v>124</v>
      </c>
      <c r="C81" s="21"/>
      <c r="D81" s="22"/>
      <c r="E81" s="23"/>
      <c r="F81" s="22"/>
      <c r="G81" s="22"/>
      <c r="H81" s="22"/>
      <c r="I81" s="22"/>
      <c r="J81" s="24"/>
    </row>
    <row r="82" spans="2:10" ht="15.75" customHeight="1" x14ac:dyDescent="0.25">
      <c r="B82" s="43" t="s">
        <v>742</v>
      </c>
      <c r="J82" s="17"/>
    </row>
    <row r="83" spans="2:10" ht="15.75" customHeight="1" x14ac:dyDescent="0.25">
      <c r="B83" s="36" t="s">
        <v>433</v>
      </c>
      <c r="J83" s="17"/>
    </row>
    <row r="84" spans="2:10" ht="15.75" customHeight="1" x14ac:dyDescent="0.2">
      <c r="B84" s="37"/>
      <c r="C84" s="38"/>
      <c r="D84" s="38"/>
      <c r="E84" s="38"/>
      <c r="F84" s="38"/>
      <c r="G84" s="38"/>
      <c r="H84" s="38"/>
      <c r="I84" s="38"/>
      <c r="J84" s="39"/>
    </row>
  </sheetData>
  <sortState xmlns:xlrd2="http://schemas.microsoft.com/office/spreadsheetml/2017/richdata2" ref="B63:C78">
    <sortCondition ref="B63:B78"/>
  </sortState>
  <mergeCells count="4">
    <mergeCell ref="B8:J17"/>
    <mergeCell ref="B36:J38"/>
    <mergeCell ref="B39:J40"/>
    <mergeCell ref="B31:J33"/>
  </mergeCells>
  <conditionalFormatting sqref="B45:B53">
    <cfRule type="colorScale" priority="27">
      <colorScale>
        <cfvo type="min"/>
        <cfvo type="max"/>
        <color rgb="FFFCFCFF"/>
        <color rgb="FF63BE7B"/>
      </colorScale>
    </cfRule>
  </conditionalFormatting>
  <conditionalFormatting sqref="H45">
    <cfRule type="colorScale" priority="1">
      <colorScale>
        <cfvo type="min"/>
        <cfvo type="max"/>
        <color rgb="FFFCFCFF"/>
        <color rgb="FF63BE7B"/>
      </colorScale>
    </cfRule>
  </conditionalFormatting>
  <conditionalFormatting sqref="H46:H48 H50">
    <cfRule type="colorScale" priority="3">
      <colorScale>
        <cfvo type="min"/>
        <cfvo type="max"/>
        <color rgb="FFFCFCFF"/>
        <color rgb="FF63BE7B"/>
      </colorScale>
    </cfRule>
  </conditionalFormatting>
  <conditionalFormatting sqref="H49">
    <cfRule type="colorScale" priority="2">
      <colorScale>
        <cfvo type="min"/>
        <cfvo type="max"/>
        <color rgb="FFFCFCFF"/>
        <color rgb="FF63BE7B"/>
      </colorScale>
    </cfRule>
  </conditionalFormatting>
  <hyperlinks>
    <hyperlink ref="B83" r:id="rId1" xr:uid="{0D19F025-6DB4-4EF1-BAA9-A4C387C27D15}"/>
    <hyperlink ref="B41" r:id="rId2" xr:uid="{A9518101-5F53-4471-AB23-DE8066934910}"/>
    <hyperlink ref="C41" r:id="rId3" xr:uid="{D3971379-F548-46C6-80C5-5F05D55F35C4}"/>
    <hyperlink ref="D41" r:id="rId4" xr:uid="{AF38B8A2-2894-441D-B17D-5F581F9C9639}"/>
    <hyperlink ref="E41" r:id="rId5" display="New South Walse" xr:uid="{AFE9F993-F512-4432-A6BD-668146CB61FC}"/>
    <hyperlink ref="G41" r:id="rId6" xr:uid="{87C0A643-5B0E-403E-8E83-46D8FA5BEE40}"/>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856F-B281-48F4-8C6C-1592E7C4E12E}">
  <dimension ref="A1:S39"/>
  <sheetViews>
    <sheetView tabSelected="1" zoomScale="80" zoomScaleNormal="80" workbookViewId="0">
      <selection activeCell="F30" sqref="F30"/>
    </sheetView>
  </sheetViews>
  <sheetFormatPr defaultRowHeight="15" x14ac:dyDescent="0.25"/>
  <cols>
    <col min="1" max="1" width="43.5703125" customWidth="1"/>
    <col min="2" max="2" width="13.140625" customWidth="1"/>
    <col min="3" max="3" width="45" bestFit="1" customWidth="1"/>
    <col min="4" max="4" width="11.85546875" customWidth="1"/>
    <col min="5" max="5" width="9.7109375" bestFit="1" customWidth="1"/>
    <col min="6" max="6" width="13.28515625" bestFit="1" customWidth="1"/>
    <col min="7" max="7" width="8" bestFit="1" customWidth="1"/>
    <col min="8" max="8" width="10.7109375" bestFit="1" customWidth="1"/>
    <col min="9" max="9" width="12.7109375" bestFit="1" customWidth="1"/>
    <col min="10" max="10" width="17.140625" bestFit="1" customWidth="1"/>
    <col min="11" max="11" width="19.7109375" bestFit="1" customWidth="1"/>
    <col min="12" max="12" width="17.140625" customWidth="1"/>
    <col min="13" max="13" width="21.5703125" customWidth="1"/>
    <col min="14" max="14" width="12" bestFit="1" customWidth="1"/>
    <col min="15" max="15" width="12" customWidth="1"/>
    <col min="16" max="16" width="21.5703125" bestFit="1" customWidth="1"/>
    <col min="17" max="17" width="32.140625" customWidth="1"/>
    <col min="18" max="18" width="12.5703125" customWidth="1"/>
    <col min="19" max="19" width="10.85546875" customWidth="1"/>
  </cols>
  <sheetData>
    <row r="1" spans="1:19" x14ac:dyDescent="0.25">
      <c r="A1" s="76" t="s">
        <v>0</v>
      </c>
      <c r="B1" s="76" t="s">
        <v>421</v>
      </c>
      <c r="C1" s="76" t="s">
        <v>1</v>
      </c>
      <c r="D1" s="76" t="s">
        <v>444</v>
      </c>
      <c r="E1" s="76" t="s">
        <v>8</v>
      </c>
      <c r="F1" s="76" t="s">
        <v>10</v>
      </c>
      <c r="G1" s="76" t="s">
        <v>66</v>
      </c>
      <c r="H1" s="76" t="s">
        <v>38</v>
      </c>
      <c r="I1" s="76" t="s">
        <v>7</v>
      </c>
      <c r="J1" s="76" t="s">
        <v>759</v>
      </c>
      <c r="K1" s="76" t="s">
        <v>760</v>
      </c>
      <c r="L1" s="76" t="s">
        <v>445</v>
      </c>
      <c r="M1" s="76" t="s">
        <v>609</v>
      </c>
      <c r="N1" s="76" t="s">
        <v>446</v>
      </c>
      <c r="O1" s="76" t="s">
        <v>610</v>
      </c>
      <c r="P1" s="76" t="s">
        <v>441</v>
      </c>
      <c r="Q1" s="76" t="s">
        <v>41</v>
      </c>
      <c r="R1" s="76" t="s">
        <v>422</v>
      </c>
      <c r="S1" s="76" t="s">
        <v>423</v>
      </c>
    </row>
    <row r="2" spans="1:19" x14ac:dyDescent="0.25">
      <c r="A2" t="s">
        <v>12</v>
      </c>
      <c r="B2" s="5" t="s">
        <v>636</v>
      </c>
      <c r="C2" t="s">
        <v>13</v>
      </c>
      <c r="D2" s="5" t="s">
        <v>416</v>
      </c>
      <c r="E2" t="s">
        <v>21</v>
      </c>
      <c r="F2" t="s">
        <v>19</v>
      </c>
      <c r="G2" t="s">
        <v>53</v>
      </c>
      <c r="H2" s="77">
        <v>-19.444811112699998</v>
      </c>
      <c r="I2" s="77">
        <v>133.82371231159999</v>
      </c>
      <c r="J2">
        <v>1.2</v>
      </c>
      <c r="N2">
        <v>2024</v>
      </c>
      <c r="O2" s="5" t="s">
        <v>438</v>
      </c>
      <c r="P2" t="s">
        <v>21</v>
      </c>
      <c r="Q2" t="s">
        <v>804</v>
      </c>
      <c r="R2" s="5" t="s">
        <v>438</v>
      </c>
    </row>
    <row r="3" spans="1:19" ht="14.25" customHeight="1" x14ac:dyDescent="0.25">
      <c r="A3" t="s">
        <v>2</v>
      </c>
      <c r="B3" s="5" t="s">
        <v>303</v>
      </c>
      <c r="C3" t="s">
        <v>3</v>
      </c>
      <c r="D3" s="5" t="s">
        <v>635</v>
      </c>
      <c r="E3" t="s">
        <v>21</v>
      </c>
      <c r="F3" t="s">
        <v>19</v>
      </c>
      <c r="G3" t="s">
        <v>49</v>
      </c>
      <c r="H3" s="77">
        <v>-21.263593257546901</v>
      </c>
      <c r="I3" s="77">
        <v>119.04112693557499</v>
      </c>
      <c r="J3">
        <v>22</v>
      </c>
      <c r="L3" s="78">
        <f>3900/0.7</f>
        <v>5571.4285714285716</v>
      </c>
      <c r="M3" s="5" t="s">
        <v>641</v>
      </c>
      <c r="N3">
        <v>2023</v>
      </c>
      <c r="O3" s="5" t="s">
        <v>641</v>
      </c>
      <c r="P3" t="s">
        <v>21</v>
      </c>
      <c r="Q3" t="s">
        <v>743</v>
      </c>
    </row>
    <row r="4" spans="1:19" x14ac:dyDescent="0.25">
      <c r="A4" t="s">
        <v>5</v>
      </c>
      <c r="B4" s="5" t="s">
        <v>299</v>
      </c>
      <c r="C4" t="s">
        <v>39</v>
      </c>
      <c r="D4" s="5" t="s">
        <v>299</v>
      </c>
      <c r="E4" t="s">
        <v>21</v>
      </c>
      <c r="F4" t="s">
        <v>19</v>
      </c>
      <c r="G4" t="s">
        <v>49</v>
      </c>
      <c r="H4" s="77">
        <v>-20.849107487933299</v>
      </c>
      <c r="I4" s="77">
        <v>116.203982877578</v>
      </c>
      <c r="J4">
        <v>24</v>
      </c>
      <c r="L4" s="78">
        <v>18200</v>
      </c>
      <c r="M4" s="5" t="s">
        <v>642</v>
      </c>
      <c r="N4">
        <v>2013</v>
      </c>
      <c r="O4" s="5" t="s">
        <v>637</v>
      </c>
      <c r="P4" t="s">
        <v>21</v>
      </c>
      <c r="Q4" t="s">
        <v>749</v>
      </c>
    </row>
    <row r="5" spans="1:19" x14ac:dyDescent="0.25">
      <c r="A5" t="s">
        <v>4</v>
      </c>
      <c r="B5" s="5" t="s">
        <v>320</v>
      </c>
      <c r="C5" t="s">
        <v>14</v>
      </c>
      <c r="D5" s="5" t="s">
        <v>447</v>
      </c>
      <c r="E5" t="s">
        <v>21</v>
      </c>
      <c r="F5" t="s">
        <v>19</v>
      </c>
      <c r="G5" t="s">
        <v>49</v>
      </c>
      <c r="H5" s="77">
        <v>-29.0685162292264</v>
      </c>
      <c r="I5" s="77">
        <v>116.762196264848</v>
      </c>
      <c r="J5">
        <v>8</v>
      </c>
      <c r="L5">
        <v>2570</v>
      </c>
      <c r="M5" s="5" t="s">
        <v>643</v>
      </c>
      <c r="N5">
        <v>2013</v>
      </c>
      <c r="O5" s="5" t="s">
        <v>638</v>
      </c>
      <c r="P5" t="s">
        <v>21</v>
      </c>
      <c r="Q5" t="s">
        <v>744</v>
      </c>
    </row>
    <row r="6" spans="1:19" x14ac:dyDescent="0.25">
      <c r="A6" t="s">
        <v>40</v>
      </c>
      <c r="B6" s="5" t="s">
        <v>448</v>
      </c>
      <c r="C6" t="s">
        <v>15</v>
      </c>
      <c r="D6" s="5" t="s">
        <v>366</v>
      </c>
      <c r="E6" t="s">
        <v>21</v>
      </c>
      <c r="F6" t="s">
        <v>19</v>
      </c>
      <c r="G6" t="s">
        <v>45</v>
      </c>
      <c r="H6" s="77">
        <v>-32.995181111485998</v>
      </c>
      <c r="I6" s="77">
        <v>137.16090559638101</v>
      </c>
      <c r="J6">
        <v>2.2000000000000002</v>
      </c>
      <c r="N6">
        <v>2007</v>
      </c>
      <c r="O6" s="5" t="s">
        <v>639</v>
      </c>
      <c r="P6" t="s">
        <v>21</v>
      </c>
      <c r="Q6" t="s">
        <v>750</v>
      </c>
    </row>
    <row r="7" spans="1:19" x14ac:dyDescent="0.25">
      <c r="A7" t="s">
        <v>6</v>
      </c>
      <c r="B7" s="5" t="s">
        <v>330</v>
      </c>
      <c r="C7" t="s">
        <v>132</v>
      </c>
      <c r="D7" s="5" t="s">
        <v>330</v>
      </c>
      <c r="E7" t="s">
        <v>21</v>
      </c>
      <c r="F7" t="s">
        <v>19</v>
      </c>
      <c r="G7" t="s">
        <v>48</v>
      </c>
      <c r="H7" s="77">
        <v>-41.489913664174999</v>
      </c>
      <c r="I7" s="77">
        <v>145.20880885637399</v>
      </c>
      <c r="J7">
        <v>2.85</v>
      </c>
      <c r="N7">
        <v>1967</v>
      </c>
      <c r="O7" s="5" t="s">
        <v>280</v>
      </c>
      <c r="P7" t="s">
        <v>21</v>
      </c>
      <c r="Q7" t="s">
        <v>808</v>
      </c>
    </row>
    <row r="8" spans="1:19" x14ac:dyDescent="0.25">
      <c r="A8" t="s">
        <v>822</v>
      </c>
      <c r="B8" s="5" t="s">
        <v>825</v>
      </c>
      <c r="C8" t="s">
        <v>823</v>
      </c>
      <c r="D8" s="5" t="s">
        <v>824</v>
      </c>
      <c r="E8" t="s">
        <v>21</v>
      </c>
      <c r="F8" t="s">
        <v>19</v>
      </c>
      <c r="G8" t="s">
        <v>49</v>
      </c>
      <c r="H8" s="77">
        <v>-29.263906416722399</v>
      </c>
      <c r="I8" s="77">
        <v>117.686353720326</v>
      </c>
      <c r="J8">
        <v>4</v>
      </c>
      <c r="K8">
        <v>5</v>
      </c>
      <c r="M8" s="5" t="s">
        <v>824</v>
      </c>
      <c r="N8">
        <v>2023</v>
      </c>
      <c r="O8" s="5" t="s">
        <v>825</v>
      </c>
      <c r="P8" t="s">
        <v>21</v>
      </c>
      <c r="Q8" t="s">
        <v>826</v>
      </c>
    </row>
    <row r="9" spans="1:19" x14ac:dyDescent="0.25">
      <c r="A9" t="s">
        <v>6</v>
      </c>
      <c r="B9" s="5" t="s">
        <v>330</v>
      </c>
      <c r="C9" t="s">
        <v>133</v>
      </c>
      <c r="D9" s="5" t="s">
        <v>330</v>
      </c>
      <c r="E9" t="s">
        <v>21</v>
      </c>
      <c r="F9" t="s">
        <v>20</v>
      </c>
      <c r="G9" t="s">
        <v>48</v>
      </c>
      <c r="H9" s="77">
        <v>-40.852018360303603</v>
      </c>
      <c r="I9" s="77">
        <v>145.37696703468001</v>
      </c>
      <c r="J9">
        <v>2.6</v>
      </c>
      <c r="N9">
        <v>1967</v>
      </c>
      <c r="O9" s="5" t="s">
        <v>280</v>
      </c>
      <c r="P9" t="s">
        <v>21</v>
      </c>
      <c r="Q9" t="s">
        <v>745</v>
      </c>
    </row>
    <row r="10" spans="1:19" x14ac:dyDescent="0.25">
      <c r="A10" t="s">
        <v>17</v>
      </c>
      <c r="B10" s="5" t="s">
        <v>449</v>
      </c>
      <c r="C10" t="s">
        <v>18</v>
      </c>
      <c r="D10" s="5" t="s">
        <v>450</v>
      </c>
      <c r="E10" t="s">
        <v>21</v>
      </c>
      <c r="F10" t="s">
        <v>20</v>
      </c>
      <c r="G10" t="s">
        <v>45</v>
      </c>
      <c r="H10" s="77">
        <v>-33.0085073471312</v>
      </c>
      <c r="I10" s="77">
        <v>137.57706951180799</v>
      </c>
      <c r="J10">
        <v>1.3</v>
      </c>
      <c r="N10">
        <v>1968</v>
      </c>
      <c r="O10" s="5" t="s">
        <v>640</v>
      </c>
      <c r="P10" t="s">
        <v>21</v>
      </c>
      <c r="Q10" t="s">
        <v>809</v>
      </c>
    </row>
    <row r="11" spans="1:19" x14ac:dyDescent="0.25">
      <c r="A11" t="s">
        <v>119</v>
      </c>
      <c r="B11" s="5" t="s">
        <v>360</v>
      </c>
      <c r="C11" t="s">
        <v>176</v>
      </c>
      <c r="D11" s="6" t="s">
        <v>361</v>
      </c>
      <c r="E11" t="s">
        <v>9</v>
      </c>
      <c r="F11" t="s">
        <v>19</v>
      </c>
      <c r="G11" t="s">
        <v>49</v>
      </c>
      <c r="H11" s="77">
        <v>-26.127354</v>
      </c>
      <c r="I11" s="77">
        <v>116.31100000000001</v>
      </c>
      <c r="J11">
        <v>2.4</v>
      </c>
      <c r="L11">
        <v>111</v>
      </c>
      <c r="M11" s="5" t="s">
        <v>1166</v>
      </c>
      <c r="P11" t="s">
        <v>474</v>
      </c>
      <c r="Q11" t="s">
        <v>810</v>
      </c>
      <c r="R11" s="5" t="s">
        <v>591</v>
      </c>
      <c r="S11" s="5" t="s">
        <v>568</v>
      </c>
    </row>
    <row r="12" spans="1:19" x14ac:dyDescent="0.25">
      <c r="A12" t="s">
        <v>22</v>
      </c>
      <c r="B12" s="5" t="s">
        <v>313</v>
      </c>
      <c r="C12" t="s">
        <v>23</v>
      </c>
      <c r="D12" s="5" t="s">
        <v>314</v>
      </c>
      <c r="E12" t="s">
        <v>9</v>
      </c>
      <c r="F12" t="s">
        <v>19</v>
      </c>
      <c r="G12" t="s">
        <v>45</v>
      </c>
      <c r="H12" s="77">
        <v>-32.9533202804258</v>
      </c>
      <c r="I12" s="77">
        <v>139.714492598964</v>
      </c>
      <c r="J12">
        <v>5</v>
      </c>
      <c r="K12">
        <v>10</v>
      </c>
      <c r="L12">
        <v>572</v>
      </c>
      <c r="M12" s="5" t="s">
        <v>451</v>
      </c>
      <c r="P12" t="s">
        <v>442</v>
      </c>
      <c r="Q12" t="s">
        <v>1175</v>
      </c>
    </row>
    <row r="13" spans="1:19" s="79" customFormat="1" x14ac:dyDescent="0.25">
      <c r="A13" s="79" t="s">
        <v>24</v>
      </c>
      <c r="B13" s="5" t="s">
        <v>367</v>
      </c>
      <c r="C13" s="79" t="s">
        <v>1178</v>
      </c>
      <c r="D13" s="5" t="s">
        <v>368</v>
      </c>
      <c r="E13" s="79" t="s">
        <v>9</v>
      </c>
      <c r="F13" s="79" t="s">
        <v>19</v>
      </c>
      <c r="G13" s="79" t="s">
        <v>45</v>
      </c>
      <c r="H13" s="80">
        <v>-34.4302926692989</v>
      </c>
      <c r="I13" s="80">
        <v>135.86989696481501</v>
      </c>
      <c r="J13" s="81">
        <v>3</v>
      </c>
      <c r="K13" s="79">
        <v>10</v>
      </c>
      <c r="P13" s="79" t="s">
        <v>442</v>
      </c>
      <c r="Q13" s="79" t="s">
        <v>1171</v>
      </c>
      <c r="R13" s="5" t="s">
        <v>649</v>
      </c>
      <c r="S13" s="81" t="s">
        <v>452</v>
      </c>
    </row>
    <row r="14" spans="1:19" x14ac:dyDescent="0.25">
      <c r="A14" t="s">
        <v>25</v>
      </c>
      <c r="B14" s="5" t="s">
        <v>308</v>
      </c>
      <c r="C14" t="s">
        <v>26</v>
      </c>
      <c r="D14" s="5" t="s">
        <v>309</v>
      </c>
      <c r="E14" t="s">
        <v>9</v>
      </c>
      <c r="F14" t="s">
        <v>19</v>
      </c>
      <c r="G14" t="s">
        <v>45</v>
      </c>
      <c r="H14" s="77">
        <v>-33.2438</v>
      </c>
      <c r="I14" s="77">
        <v>135.6677</v>
      </c>
      <c r="J14">
        <v>12</v>
      </c>
      <c r="K14">
        <v>12</v>
      </c>
      <c r="L14" s="78">
        <f>'Magnetite desposits'!AO10</f>
        <v>3700</v>
      </c>
      <c r="M14" s="5" t="s">
        <v>454</v>
      </c>
      <c r="P14" t="s">
        <v>443</v>
      </c>
      <c r="Q14" t="s">
        <v>752</v>
      </c>
      <c r="R14" s="5" t="s">
        <v>453</v>
      </c>
    </row>
    <row r="15" spans="1:19" x14ac:dyDescent="0.25">
      <c r="A15" t="s">
        <v>40</v>
      </c>
      <c r="B15" s="5" t="s">
        <v>644</v>
      </c>
      <c r="C15" t="s">
        <v>27</v>
      </c>
      <c r="D15" s="5" t="s">
        <v>366</v>
      </c>
      <c r="E15" t="s">
        <v>9</v>
      </c>
      <c r="F15" t="s">
        <v>19</v>
      </c>
      <c r="G15" t="s">
        <v>45</v>
      </c>
      <c r="H15" s="77">
        <v>-32.994999999999997</v>
      </c>
      <c r="I15" s="77">
        <v>137.16</v>
      </c>
      <c r="J15">
        <v>7</v>
      </c>
      <c r="K15">
        <v>15</v>
      </c>
      <c r="P15" t="s">
        <v>442</v>
      </c>
      <c r="Q15" t="s">
        <v>748</v>
      </c>
      <c r="R15" s="5" t="s">
        <v>457</v>
      </c>
      <c r="S15" s="5" t="s">
        <v>362</v>
      </c>
    </row>
    <row r="16" spans="1:19" x14ac:dyDescent="0.25">
      <c r="A16" t="s">
        <v>28</v>
      </c>
      <c r="B16" s="5" t="s">
        <v>458</v>
      </c>
      <c r="C16" t="s">
        <v>29</v>
      </c>
      <c r="D16" s="5" t="s">
        <v>439</v>
      </c>
      <c r="E16" t="s">
        <v>9</v>
      </c>
      <c r="F16" t="s">
        <v>140</v>
      </c>
      <c r="G16" s="82" t="s">
        <v>49</v>
      </c>
      <c r="H16" s="77">
        <v>-32.232149944416697</v>
      </c>
      <c r="I16" s="77">
        <v>115.839636374457</v>
      </c>
      <c r="J16">
        <v>0.03</v>
      </c>
      <c r="L16" s="83"/>
      <c r="M16" s="5"/>
      <c r="N16">
        <v>2028</v>
      </c>
      <c r="O16" s="5" t="s">
        <v>477</v>
      </c>
      <c r="P16" t="s">
        <v>655</v>
      </c>
      <c r="Q16" t="s">
        <v>1198</v>
      </c>
      <c r="R16" s="5" t="s">
        <v>440</v>
      </c>
      <c r="S16" s="5" t="s">
        <v>820</v>
      </c>
    </row>
    <row r="17" spans="1:19" x14ac:dyDescent="0.25">
      <c r="A17" t="s">
        <v>2</v>
      </c>
      <c r="B17" s="5" t="s">
        <v>303</v>
      </c>
      <c r="C17" t="s">
        <v>588</v>
      </c>
      <c r="D17" s="5" t="s">
        <v>587</v>
      </c>
      <c r="E17" t="s">
        <v>9</v>
      </c>
      <c r="F17" t="s">
        <v>140</v>
      </c>
      <c r="G17" t="s">
        <v>49</v>
      </c>
      <c r="H17" s="77">
        <v>-22.3935820907517</v>
      </c>
      <c r="I17" s="77">
        <v>119.74267786095101</v>
      </c>
      <c r="J17">
        <v>1.5E-3</v>
      </c>
      <c r="L17">
        <v>50</v>
      </c>
      <c r="M17" s="5" t="s">
        <v>587</v>
      </c>
      <c r="N17">
        <v>2025</v>
      </c>
      <c r="O17" s="5" t="s">
        <v>587</v>
      </c>
      <c r="P17" t="s">
        <v>479</v>
      </c>
      <c r="Q17" t="s">
        <v>805</v>
      </c>
    </row>
    <row r="18" spans="1:19" x14ac:dyDescent="0.25">
      <c r="A18" t="s">
        <v>460</v>
      </c>
      <c r="B18" s="5" t="s">
        <v>461</v>
      </c>
      <c r="C18" t="s">
        <v>30</v>
      </c>
      <c r="D18" s="5" t="s">
        <v>459</v>
      </c>
      <c r="E18" t="s">
        <v>9</v>
      </c>
      <c r="F18" t="s">
        <v>140</v>
      </c>
      <c r="G18" t="s">
        <v>49</v>
      </c>
      <c r="H18" s="77">
        <v>-32.254410732874</v>
      </c>
      <c r="I18" s="77">
        <v>115.76514151920399</v>
      </c>
      <c r="J18">
        <v>0.04</v>
      </c>
      <c r="M18" s="5"/>
      <c r="N18">
        <v>2028</v>
      </c>
      <c r="O18" s="5" t="s">
        <v>461</v>
      </c>
      <c r="P18" t="s">
        <v>655</v>
      </c>
      <c r="Q18" t="s">
        <v>1195</v>
      </c>
      <c r="R18" s="5" t="s">
        <v>462</v>
      </c>
      <c r="S18" s="5" t="s">
        <v>611</v>
      </c>
    </row>
    <row r="19" spans="1:19" x14ac:dyDescent="0.25">
      <c r="A19" t="s">
        <v>31</v>
      </c>
      <c r="B19" s="5" t="s">
        <v>463</v>
      </c>
      <c r="C19" t="s">
        <v>32</v>
      </c>
      <c r="D19" s="5" t="s">
        <v>465</v>
      </c>
      <c r="E19" t="s">
        <v>9</v>
      </c>
      <c r="F19" t="s">
        <v>140</v>
      </c>
      <c r="G19" t="s">
        <v>49</v>
      </c>
      <c r="H19" s="77">
        <v>-32.2624733905281</v>
      </c>
      <c r="I19" s="77">
        <v>115.78286681988</v>
      </c>
      <c r="J19">
        <v>8.0000000000000002E-3</v>
      </c>
      <c r="K19" s="5"/>
      <c r="L19">
        <v>215</v>
      </c>
      <c r="M19" s="5" t="s">
        <v>464</v>
      </c>
      <c r="O19" s="5" t="s">
        <v>464</v>
      </c>
      <c r="P19" t="s">
        <v>418</v>
      </c>
      <c r="Q19" t="s">
        <v>818</v>
      </c>
      <c r="R19" s="5" t="s">
        <v>466</v>
      </c>
      <c r="S19" s="5" t="s">
        <v>819</v>
      </c>
    </row>
    <row r="20" spans="1:19" x14ac:dyDescent="0.25">
      <c r="A20" t="s">
        <v>134</v>
      </c>
      <c r="B20" s="5" t="s">
        <v>437</v>
      </c>
      <c r="C20" t="s">
        <v>135</v>
      </c>
      <c r="D20" s="5" t="s">
        <v>437</v>
      </c>
      <c r="E20" t="s">
        <v>9</v>
      </c>
      <c r="F20" t="s">
        <v>20</v>
      </c>
      <c r="G20" t="s">
        <v>49</v>
      </c>
      <c r="H20" s="77">
        <v>-20.395831999999999</v>
      </c>
      <c r="I20" s="77">
        <v>118.537975</v>
      </c>
      <c r="J20">
        <v>3.5</v>
      </c>
      <c r="L20">
        <v>4000</v>
      </c>
      <c r="M20" s="5" t="s">
        <v>437</v>
      </c>
      <c r="P20" t="s">
        <v>443</v>
      </c>
      <c r="Q20" t="s">
        <v>756</v>
      </c>
    </row>
    <row r="21" spans="1:19" x14ac:dyDescent="0.25">
      <c r="A21" t="s">
        <v>134</v>
      </c>
      <c r="B21" s="5" t="s">
        <v>437</v>
      </c>
      <c r="C21" t="s">
        <v>136</v>
      </c>
      <c r="D21" s="5" t="s">
        <v>437</v>
      </c>
      <c r="E21" t="s">
        <v>9</v>
      </c>
      <c r="F21" t="s">
        <v>11</v>
      </c>
      <c r="G21" t="s">
        <v>49</v>
      </c>
      <c r="H21" s="77">
        <v>-20.395831999999999</v>
      </c>
      <c r="I21" s="77">
        <v>118.537975</v>
      </c>
      <c r="J21">
        <v>2</v>
      </c>
      <c r="K21">
        <v>12</v>
      </c>
      <c r="L21">
        <v>4000</v>
      </c>
      <c r="M21" s="5" t="s">
        <v>437</v>
      </c>
      <c r="P21" t="s">
        <v>443</v>
      </c>
      <c r="Q21" t="s">
        <v>757</v>
      </c>
    </row>
    <row r="22" spans="1:19" x14ac:dyDescent="0.25">
      <c r="A22" t="s">
        <v>33</v>
      </c>
      <c r="B22" s="5" t="s">
        <v>468</v>
      </c>
      <c r="C22" t="s">
        <v>139</v>
      </c>
      <c r="D22" s="5" t="s">
        <v>449</v>
      </c>
      <c r="E22" t="s">
        <v>9</v>
      </c>
      <c r="F22" t="s">
        <v>11</v>
      </c>
      <c r="G22" t="s">
        <v>45</v>
      </c>
      <c r="H22" s="77">
        <v>-33.0085073471312</v>
      </c>
      <c r="I22" s="77">
        <v>137.57706951180799</v>
      </c>
      <c r="J22">
        <v>1.8</v>
      </c>
      <c r="P22" t="s">
        <v>442</v>
      </c>
      <c r="Q22" t="s">
        <v>753</v>
      </c>
      <c r="R22" s="5" t="s">
        <v>467</v>
      </c>
    </row>
    <row r="23" spans="1:19" x14ac:dyDescent="0.25">
      <c r="A23" t="s">
        <v>34</v>
      </c>
      <c r="B23" s="5" t="s">
        <v>469</v>
      </c>
      <c r="C23" t="s">
        <v>35</v>
      </c>
      <c r="D23" s="5" t="s">
        <v>470</v>
      </c>
      <c r="E23" t="s">
        <v>9</v>
      </c>
      <c r="F23" t="s">
        <v>11</v>
      </c>
      <c r="G23" t="s">
        <v>49</v>
      </c>
      <c r="H23" s="77">
        <v>-28.766857999999999</v>
      </c>
      <c r="I23" s="77">
        <v>115.1</v>
      </c>
      <c r="J23">
        <v>2.5</v>
      </c>
      <c r="P23" t="s">
        <v>474</v>
      </c>
      <c r="Q23" t="s">
        <v>831</v>
      </c>
      <c r="R23" s="5" t="s">
        <v>470</v>
      </c>
    </row>
    <row r="24" spans="1:19" x14ac:dyDescent="0.25">
      <c r="A24" t="s">
        <v>36</v>
      </c>
      <c r="B24" s="5" t="s">
        <v>476</v>
      </c>
      <c r="C24" t="s">
        <v>137</v>
      </c>
      <c r="D24" s="5" t="s">
        <v>475</v>
      </c>
      <c r="E24" t="s">
        <v>9</v>
      </c>
      <c r="F24" t="s">
        <v>20</v>
      </c>
      <c r="G24" t="s">
        <v>49</v>
      </c>
      <c r="H24" s="77">
        <v>-28.764942082582401</v>
      </c>
      <c r="I24" s="77">
        <v>114.797413839867</v>
      </c>
      <c r="J24">
        <v>7</v>
      </c>
      <c r="K24">
        <v>50</v>
      </c>
      <c r="P24" t="s">
        <v>474</v>
      </c>
      <c r="Q24" t="s">
        <v>758</v>
      </c>
    </row>
    <row r="25" spans="1:19" x14ac:dyDescent="0.25">
      <c r="A25" t="s">
        <v>36</v>
      </c>
      <c r="B25" s="5" t="s">
        <v>476</v>
      </c>
      <c r="C25" t="s">
        <v>138</v>
      </c>
      <c r="D25" s="5" t="s">
        <v>475</v>
      </c>
      <c r="E25" t="s">
        <v>9</v>
      </c>
      <c r="F25" t="s">
        <v>11</v>
      </c>
      <c r="G25" t="s">
        <v>49</v>
      </c>
      <c r="H25" s="77">
        <v>-28.764942082582401</v>
      </c>
      <c r="I25" s="77">
        <v>114.797413839867</v>
      </c>
      <c r="J25">
        <v>2.5</v>
      </c>
      <c r="K25">
        <v>10</v>
      </c>
      <c r="P25" t="s">
        <v>474</v>
      </c>
      <c r="Q25" t="s">
        <v>829</v>
      </c>
    </row>
    <row r="26" spans="1:19" x14ac:dyDescent="0.25">
      <c r="A26" t="s">
        <v>37</v>
      </c>
      <c r="B26" s="5" t="s">
        <v>471</v>
      </c>
      <c r="C26" t="s">
        <v>589</v>
      </c>
      <c r="D26" s="5" t="s">
        <v>472</v>
      </c>
      <c r="E26" t="s">
        <v>9</v>
      </c>
      <c r="F26" t="s">
        <v>11</v>
      </c>
      <c r="G26" t="s">
        <v>45</v>
      </c>
      <c r="H26" s="77">
        <v>-32.967782932690596</v>
      </c>
      <c r="I26" s="77">
        <v>137.585553599772</v>
      </c>
      <c r="J26">
        <v>1.2</v>
      </c>
      <c r="N26">
        <v>2027</v>
      </c>
      <c r="O26" s="5" t="s">
        <v>473</v>
      </c>
      <c r="P26" t="s">
        <v>474</v>
      </c>
      <c r="Q26" t="s">
        <v>754</v>
      </c>
      <c r="R26" s="5" t="s">
        <v>473</v>
      </c>
    </row>
    <row r="27" spans="1:19" x14ac:dyDescent="0.25">
      <c r="A27" t="s">
        <v>55</v>
      </c>
      <c r="B27" s="5" t="s">
        <v>363</v>
      </c>
      <c r="C27" s="84" t="s">
        <v>81</v>
      </c>
      <c r="D27" s="6" t="s">
        <v>363</v>
      </c>
      <c r="E27" t="s">
        <v>9</v>
      </c>
      <c r="F27" t="s">
        <v>19</v>
      </c>
      <c r="G27" s="2" t="s">
        <v>49</v>
      </c>
      <c r="H27" s="77">
        <v>-30.044236999999999</v>
      </c>
      <c r="I27" s="77">
        <v>120.007453</v>
      </c>
      <c r="J27">
        <v>3</v>
      </c>
      <c r="L27" s="78">
        <v>1460.7</v>
      </c>
      <c r="M27" s="5" t="s">
        <v>219</v>
      </c>
      <c r="P27" t="s">
        <v>443</v>
      </c>
      <c r="Q27" t="s">
        <v>755</v>
      </c>
      <c r="R27" s="5" t="s">
        <v>219</v>
      </c>
      <c r="S27" s="5" t="s">
        <v>593</v>
      </c>
    </row>
    <row r="28" spans="1:19" x14ac:dyDescent="0.25">
      <c r="A28" s="2" t="s">
        <v>127</v>
      </c>
      <c r="B28" s="5" t="s">
        <v>311</v>
      </c>
      <c r="C28" s="84" t="s">
        <v>69</v>
      </c>
      <c r="D28" s="6" t="s">
        <v>312</v>
      </c>
      <c r="E28" t="s">
        <v>9</v>
      </c>
      <c r="F28" t="s">
        <v>19</v>
      </c>
      <c r="G28" s="2" t="s">
        <v>70</v>
      </c>
      <c r="H28" s="77">
        <v>-32.438000000000002</v>
      </c>
      <c r="I28" s="77">
        <v>141.149</v>
      </c>
      <c r="J28">
        <v>12</v>
      </c>
      <c r="K28">
        <v>12</v>
      </c>
      <c r="L28">
        <v>4960</v>
      </c>
      <c r="M28" s="5" t="s">
        <v>811</v>
      </c>
      <c r="P28" t="s">
        <v>442</v>
      </c>
      <c r="Q28" t="s">
        <v>812</v>
      </c>
      <c r="S28" s="5" t="s">
        <v>592</v>
      </c>
    </row>
    <row r="29" spans="1:19" x14ac:dyDescent="0.25">
      <c r="A29" t="s">
        <v>813</v>
      </c>
      <c r="B29" s="5" t="s">
        <v>814</v>
      </c>
      <c r="C29" t="s">
        <v>1163</v>
      </c>
      <c r="D29" s="5" t="s">
        <v>815</v>
      </c>
      <c r="E29" t="s">
        <v>9</v>
      </c>
      <c r="F29" t="s">
        <v>111</v>
      </c>
      <c r="G29" t="s">
        <v>49</v>
      </c>
      <c r="H29" s="77">
        <v>-31.8487805087406</v>
      </c>
      <c r="I29" s="77">
        <v>115.886447681663</v>
      </c>
      <c r="N29">
        <v>2030</v>
      </c>
      <c r="P29" t="s">
        <v>474</v>
      </c>
      <c r="Q29" t="s">
        <v>816</v>
      </c>
      <c r="R29" t="s">
        <v>817</v>
      </c>
    </row>
    <row r="30" spans="1:19" x14ac:dyDescent="0.25">
      <c r="A30" t="s">
        <v>1268</v>
      </c>
      <c r="B30" s="1" t="s">
        <v>360</v>
      </c>
      <c r="C30" t="s">
        <v>1267</v>
      </c>
      <c r="D30" s="1" t="s">
        <v>1271</v>
      </c>
      <c r="E30" t="s">
        <v>9</v>
      </c>
      <c r="F30" t="s">
        <v>140</v>
      </c>
      <c r="G30" t="s">
        <v>49</v>
      </c>
      <c r="H30">
        <v>-29.818978546526001</v>
      </c>
      <c r="I30">
        <v>115.27486632263199</v>
      </c>
      <c r="J30">
        <v>0.04</v>
      </c>
      <c r="K30">
        <v>0.24</v>
      </c>
      <c r="N30">
        <v>2028</v>
      </c>
      <c r="P30" t="s">
        <v>474</v>
      </c>
      <c r="Q30" t="s">
        <v>1272</v>
      </c>
      <c r="R30" t="s">
        <v>1269</v>
      </c>
      <c r="S30" t="s">
        <v>1270</v>
      </c>
    </row>
    <row r="31" spans="1:19" x14ac:dyDescent="0.25">
      <c r="M31" t="s">
        <v>821</v>
      </c>
    </row>
    <row r="35" spans="1:1" ht="16.5" x14ac:dyDescent="0.3">
      <c r="A35" s="85"/>
    </row>
    <row r="39" spans="1:1" x14ac:dyDescent="0.25">
      <c r="A39" s="5"/>
    </row>
  </sheetData>
  <autoFilter ref="A1:S31" xr:uid="{3D85856F-B281-48F4-8C6C-1592E7C4E12E}"/>
  <conditionalFormatting sqref="C11">
    <cfRule type="duplicateValues" dxfId="13" priority="1"/>
  </conditionalFormatting>
  <conditionalFormatting sqref="C27:C28">
    <cfRule type="duplicateValues" dxfId="12" priority="2"/>
  </conditionalFormatting>
  <conditionalFormatting sqref="C31:C1048576 C1:C10 C12:C26">
    <cfRule type="duplicateValues" dxfId="11" priority="51"/>
    <cfRule type="duplicateValues" dxfId="10" priority="52"/>
  </conditionalFormatting>
  <hyperlinks>
    <hyperlink ref="D2" r:id="rId1" xr:uid="{9E0147BD-B45A-49BB-AA22-0CEDA17B4112}"/>
    <hyperlink ref="R2" r:id="rId2" xr:uid="{51C099C9-63E2-4794-867B-BC1E68E00A3C}"/>
    <hyperlink ref="D16" r:id="rId3" xr:uid="{6EE01C96-6F16-4404-A17A-0FB0C268B291}"/>
    <hyperlink ref="R16" r:id="rId4" xr:uid="{248C5D7F-64FA-41EC-9EFD-61A3CC134E37}"/>
    <hyperlink ref="B4" r:id="rId5" xr:uid="{BAFE1CFD-321F-4629-B572-06B45CF7EF38}"/>
    <hyperlink ref="B3" r:id="rId6" xr:uid="{5411517E-C724-4BFF-B104-BD8C036B7BFE}"/>
    <hyperlink ref="D4" r:id="rId7" xr:uid="{B5E214D3-0F04-44B7-AA23-620EAD692418}"/>
    <hyperlink ref="B2" r:id="rId8" xr:uid="{18DD1E4C-E5BB-462D-B951-DB3EC9FFE716}"/>
    <hyperlink ref="B5" r:id="rId9" xr:uid="{F51EC4A0-0396-498C-8E4A-0A55C9360000}"/>
    <hyperlink ref="D5" r:id="rId10" xr:uid="{810D7EAD-9EAF-4863-9D10-56B1055163D1}"/>
    <hyperlink ref="D6" r:id="rId11" xr:uid="{EFB05D28-5BA0-4E83-9683-33428F0B7D9F}"/>
    <hyperlink ref="B7" r:id="rId12" xr:uid="{16465F94-6F15-483D-B4FD-04B36110FCBC}"/>
    <hyperlink ref="B9" r:id="rId13" xr:uid="{23D16E1F-D05B-40F1-877A-17CA7663F14A}"/>
    <hyperlink ref="D9" r:id="rId14" xr:uid="{F30F6747-4FDD-4526-8B91-6739161B31BE}"/>
    <hyperlink ref="D7" r:id="rId15" xr:uid="{801D47C3-CFDF-4B6F-80FB-0988CD7116FA}"/>
    <hyperlink ref="B10" r:id="rId16" xr:uid="{32C7186B-58CF-411E-A363-23C3C972CCC5}"/>
    <hyperlink ref="D10" r:id="rId17" location="operations " xr:uid="{5DEAFB08-AB0C-4BCB-811C-4E6BDCD226C2}"/>
    <hyperlink ref="B12" r:id="rId18" xr:uid="{BE101D86-FE2D-4B85-974C-A0BA6CFB2595}"/>
    <hyperlink ref="D12" r:id="rId19" xr:uid="{79A7699C-FB10-43A9-BFDA-EBD5C36E168D}"/>
    <hyperlink ref="M12" r:id="rId20" xr:uid="{27F1ECD2-E514-4605-827D-B70C1D41738C}"/>
    <hyperlink ref="B13" r:id="rId21" xr:uid="{64996DB4-1EFB-4021-9FC2-64415E944D85}"/>
    <hyperlink ref="D13" r:id="rId22" xr:uid="{AB0EC9CC-4267-499B-8099-F51ACBF24101}"/>
    <hyperlink ref="R13" r:id="rId23" xr:uid="{61344B56-FD21-4A85-8D73-830C11EA7BDA}"/>
    <hyperlink ref="J13" r:id="rId24" display="https://wcsecure.weblink.com.au/pdf/LML/02859106.pdf" xr:uid="{D5C444E7-DD77-4D73-B899-7D124450818C}"/>
    <hyperlink ref="S13" r:id="rId25" xr:uid="{3D07C99D-23EB-4A24-BBED-1E637C2A9D60}"/>
    <hyperlink ref="B14" r:id="rId26" xr:uid="{64E2F32A-A0D7-4FB3-BA70-5FF9554A1DA0}"/>
    <hyperlink ref="D14" r:id="rId27" xr:uid="{7BE054D5-5BA1-4C11-A2E3-CE9703CC4953}"/>
    <hyperlink ref="R14" r:id="rId28" xr:uid="{AF841166-B25F-4D3A-B4F5-850ECBF70C12}"/>
    <hyperlink ref="M14" r:id="rId29" xr:uid="{FDD5153F-1794-46B3-87FF-E45B0FBD33B4}"/>
    <hyperlink ref="D15" r:id="rId30" xr:uid="{666A55F2-686E-452F-BA91-3A87D5C7DD87}"/>
    <hyperlink ref="R15" r:id="rId31" xr:uid="{D1606536-8812-46CA-BC32-F039CC1FD937}"/>
    <hyperlink ref="S15" r:id="rId32" xr:uid="{07BFAD97-EBDA-49F3-8F53-FF4608C9A40E}"/>
    <hyperlink ref="B16" r:id="rId33" xr:uid="{3DDF4E37-531E-42A7-9A1A-1AB423FC3355}"/>
    <hyperlink ref="B17" r:id="rId34" xr:uid="{0C7FAE01-A965-4E00-A447-EB57819B84A4}"/>
    <hyperlink ref="D18" r:id="rId35" xr:uid="{21DCB24A-8D9E-40F1-B52E-C1729DDDFE7A}"/>
    <hyperlink ref="O18" r:id="rId36" xr:uid="{A32FA139-3B5C-4D62-9156-2390B6F01218}"/>
    <hyperlink ref="B18" r:id="rId37" xr:uid="{BAED2113-DCBC-4C5F-9112-003E6A8BA96C}"/>
    <hyperlink ref="R18" r:id="rId38" xr:uid="{B64ADE3E-3CB8-4B23-95B4-52D997F40592}"/>
    <hyperlink ref="B19" r:id="rId39" xr:uid="{A5B6F1ED-1695-43DF-9DFC-6759129FDD29}"/>
    <hyperlink ref="M19" r:id="rId40" xr:uid="{633C2713-F0AB-4688-BA20-93662BA6B48C}"/>
    <hyperlink ref="O19" r:id="rId41" xr:uid="{DF379B17-10B2-46CB-B98B-829B72072710}"/>
    <hyperlink ref="D19" r:id="rId42" xr:uid="{08C3231B-90A7-446D-BFF9-4DD1C0BB9C59}"/>
    <hyperlink ref="R19" r:id="rId43" xr:uid="{CC2C11E2-89E8-4A87-BA16-0F8DC67168C5}"/>
    <hyperlink ref="B21" r:id="rId44" xr:uid="{D4F65309-CBC7-42EB-8E4C-327723D955DA}"/>
    <hyperlink ref="B20" r:id="rId45" xr:uid="{0084B222-9203-4AFD-B2BA-5C8331C678D5}"/>
    <hyperlink ref="M21" r:id="rId46" xr:uid="{D5F78F87-B038-498F-B2BA-11ADED4B6CB3}"/>
    <hyperlink ref="M20" r:id="rId47" xr:uid="{F95D09A0-576C-44B2-85F0-681173CAF5D9}"/>
    <hyperlink ref="D20" r:id="rId48" xr:uid="{5CEB4B81-890F-437C-810C-C8A7246551E3}"/>
    <hyperlink ref="D21" r:id="rId49" xr:uid="{B6B7265D-8427-4D1D-8C28-C4B826AC46CA}"/>
    <hyperlink ref="R22" r:id="rId50" xr:uid="{99FC8123-ED58-4654-B976-BB30BEAE084C}"/>
    <hyperlink ref="B22" r:id="rId51" xr:uid="{5AEADEB8-EF0C-4454-8604-ECC1F0461265}"/>
    <hyperlink ref="D22" r:id="rId52" xr:uid="{CF1D1D31-2D9F-44F2-80CF-724DB026477E}"/>
    <hyperlink ref="B23" r:id="rId53" xr:uid="{CE652B2E-EDF3-4C1A-A1C1-E9AA067A335C}"/>
    <hyperlink ref="R23" r:id="rId54" xr:uid="{E34F5BF8-C632-4C7A-8E13-84D86D36C71F}"/>
    <hyperlink ref="D23" r:id="rId55" xr:uid="{4A23E7D6-CE92-45BC-9ED4-02FE02ED8EC5}"/>
    <hyperlink ref="B26" r:id="rId56" xr:uid="{31803983-1E58-4374-9C9F-A7ED9F86388A}"/>
    <hyperlink ref="D26" r:id="rId57" xr:uid="{AA91F36A-58A9-4F48-BFE3-0A405FD64F73}"/>
    <hyperlink ref="R26" r:id="rId58" xr:uid="{54A2AE17-E400-4C43-B4F4-79F29DD78610}"/>
    <hyperlink ref="O26" r:id="rId59" xr:uid="{FBD16328-58DC-4FE2-845C-0501E628D1F0}"/>
    <hyperlink ref="D25" r:id="rId60" location="green-iron " xr:uid="{0FFAECF9-4B15-46AD-8B3E-5B2D1B1A48E5}"/>
    <hyperlink ref="D24" r:id="rId61" location="green-iron " xr:uid="{3F533041-7A53-415A-BC0D-48DD3DC51CA6}"/>
    <hyperlink ref="B24" r:id="rId62" xr:uid="{CF6F144D-1954-4B40-AEE9-A95900B64390}"/>
    <hyperlink ref="B25" r:id="rId63" xr:uid="{901D11CF-07AF-4255-AD07-33702057021C}"/>
    <hyperlink ref="O16" r:id="rId64" xr:uid="{C82CE06A-B052-42F1-9BB7-7DEDC44A2714}"/>
    <hyperlink ref="D17" r:id="rId65" xr:uid="{5A2ABBF2-C7E6-44AD-9614-A658D2BEF783}"/>
    <hyperlink ref="B27" r:id="rId66" xr:uid="{46940F7C-DED2-44B2-97F9-DB99DB57F21A}"/>
    <hyperlink ref="B28" r:id="rId67" xr:uid="{341B3F88-422F-402A-8D73-A024F25E1B78}"/>
    <hyperlink ref="D28" r:id="rId68" xr:uid="{6CAC5B71-51AD-4209-A834-2183B8482F4B}"/>
    <hyperlink ref="M27" r:id="rId69" xr:uid="{1708CF8C-3498-4F0F-8E9B-CE5A622C5A3E}"/>
    <hyperlink ref="B11" r:id="rId70" xr:uid="{98F85B3E-D914-49F7-A5EB-A4033CA45776}"/>
    <hyperlink ref="D11" r:id="rId71" xr:uid="{C1D4CCCD-C981-4629-B39A-622A6976CB6D}"/>
    <hyperlink ref="R11" r:id="rId72" xr:uid="{D0E49489-7CFC-442B-A26B-C89261A208D0}"/>
    <hyperlink ref="S11" r:id="rId73" xr:uid="{6DA6C6D8-5C8D-4E6A-A546-11A7D71743F9}"/>
    <hyperlink ref="S28" r:id="rId74" xr:uid="{7EBEEDC0-A984-4954-8319-203488AF70FA}"/>
    <hyperlink ref="R27" r:id="rId75" xr:uid="{0B4E47BB-FDE1-497A-BCD4-C631419CF9B8}"/>
    <hyperlink ref="S27" r:id="rId76" xr:uid="{9312D497-6235-4827-A77C-06DD19AB0256}"/>
    <hyperlink ref="M17" r:id="rId77" xr:uid="{04ABC5B7-3AE8-47CE-9582-91BA6049741D}"/>
    <hyperlink ref="O17" r:id="rId78" xr:uid="{DEB464BA-B19D-4C4C-9991-DB56F8B3E40C}"/>
    <hyperlink ref="D3" r:id="rId79" xr:uid="{758000D0-1FE4-444B-9B8B-B2062E79730C}"/>
    <hyperlink ref="O2" r:id="rId80" xr:uid="{3DBD53C3-B712-4CE7-B1A8-4F808C91531C}"/>
    <hyperlink ref="O4" r:id="rId81" location=":~:text=Premier%20and%20State%20Development%20Minister%20Colin%20Barnett,Pacific's%20Sino%20Iron%20project%2C%20south-west%20of%20Karratha. " display="https://www.wa.gov.au/government/media-statements/Barnett%20Liberal%20National%20Government/Pilbara-welcomes-WA%27s-biggest-magnetite-iron-ore-mine--20131202#:~:text=Premier%20and%20State%20Development%20Minister%20Colin%20Barnett,Pacific's%20Sino%20Iron%20project%2C%20south-west%20of%20Karratha. " xr:uid="{C6F35A4F-9BA2-4816-9E49-E0CA842BD634}"/>
    <hyperlink ref="O5" r:id="rId82" xr:uid="{63B01206-60EA-4E6B-8470-A69C20442BCB}"/>
    <hyperlink ref="O6" r:id="rId83" xr:uid="{7EA4D658-BE6A-4247-97E2-752D26FF36E2}"/>
    <hyperlink ref="O9" r:id="rId84" xr:uid="{2468796E-8F54-419D-AD04-490CDB396993}"/>
    <hyperlink ref="O7" r:id="rId85" xr:uid="{B6719D25-26B1-48F7-8ED8-525404B0BC6E}"/>
    <hyperlink ref="O10" r:id="rId86" xr:uid="{FA9D24FF-48F9-4DB1-B35B-869E6F0DA77D}"/>
    <hyperlink ref="O3" r:id="rId87" xr:uid="{AEA06D0F-C342-48B7-B3BF-575B4F67A0E9}"/>
    <hyperlink ref="M3" r:id="rId88" xr:uid="{119FCDD3-2A84-45BE-95A2-4B9E7CCBBDD7}"/>
    <hyperlink ref="M4" r:id="rId89" xr:uid="{8295443E-572D-40C8-BC6A-3869CD5BAC0D}"/>
    <hyperlink ref="M5" r:id="rId90" xr:uid="{5E77BF5D-7C0D-4489-815A-040E74BBA49D}"/>
    <hyperlink ref="D27" r:id="rId91" xr:uid="{34F3A38C-BCF2-4C23-8C79-66EB4198EB0A}"/>
    <hyperlink ref="B15" r:id="rId92" xr:uid="{40D6815F-BD43-4407-82D9-10587896DA42}"/>
    <hyperlink ref="M28" r:id="rId93" xr:uid="{E4C21406-E8AE-4551-AEF2-A4A3B2E9D553}"/>
    <hyperlink ref="B29" r:id="rId94" xr:uid="{8F388A0C-283D-4056-90FE-F4CA130BBA9E}"/>
    <hyperlink ref="D29" r:id="rId95" xr:uid="{ACC9DF91-56C3-46BE-AD71-F8E722AF13DB}"/>
    <hyperlink ref="S19" r:id="rId96" xr:uid="{E108071E-DACA-49B7-BD06-92DA46DFD33F}"/>
    <hyperlink ref="S16" r:id="rId97" xr:uid="{8CB52E75-F62D-4CD6-8A04-FAF790310B83}"/>
    <hyperlink ref="D8" r:id="rId98" location="respond " xr:uid="{0F58919C-0E57-40D4-BC31-7752E8E49344}"/>
    <hyperlink ref="B8" r:id="rId99" xr:uid="{80381515-5020-441D-BD51-01D64CB8553C}"/>
    <hyperlink ref="M8" r:id="rId100" location="respond " xr:uid="{8E5285E5-3CF7-43E1-BCAC-6F67721C229E}"/>
    <hyperlink ref="O8" r:id="rId101" xr:uid="{8F5E694D-DCA7-4623-A27A-BBAD6C7DCBAE}"/>
    <hyperlink ref="D30" r:id="rId102" xr:uid="{AD9AC977-0FE8-4B08-B14B-677B042F70BA}"/>
    <hyperlink ref="B30" r:id="rId103" xr:uid="{F178F293-552C-4210-BF2C-61EC2A0239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737F-5021-44AC-8338-C6E26E8CD685}">
  <dimension ref="A1:BF114"/>
  <sheetViews>
    <sheetView zoomScale="80" zoomScaleNormal="80" workbookViewId="0">
      <pane xSplit="1" ySplit="1" topLeftCell="M2" activePane="bottomRight" state="frozen"/>
      <selection pane="topRight" activeCell="B1" sqref="B1"/>
      <selection pane="bottomLeft" activeCell="A2" sqref="A2"/>
      <selection pane="bottomRight" activeCell="AI10" sqref="AI10"/>
    </sheetView>
  </sheetViews>
  <sheetFormatPr defaultColWidth="8.7109375" defaultRowHeight="15" outlineLevelCol="1" x14ac:dyDescent="0.25"/>
  <cols>
    <col min="1" max="1" width="14" style="2" customWidth="1"/>
    <col min="2" max="2" width="34.140625" style="2" bestFit="1" customWidth="1"/>
    <col min="3" max="3" width="51.85546875" style="2" bestFit="1" customWidth="1"/>
    <col min="4" max="4" width="54" customWidth="1"/>
    <col min="5" max="5" width="12.7109375" style="2" customWidth="1"/>
    <col min="6" max="6" width="12.28515625" style="2" customWidth="1"/>
    <col min="7" max="7" width="8" style="2" customWidth="1"/>
    <col min="8" max="8" width="11" style="4" customWidth="1"/>
    <col min="9" max="9" width="15.7109375" customWidth="1"/>
    <col min="10" max="10" width="15.5703125" customWidth="1" outlineLevel="1"/>
    <col min="11" max="11" width="14.28515625" customWidth="1" outlineLevel="1"/>
    <col min="12" max="12" width="16" customWidth="1" outlineLevel="1"/>
    <col min="13" max="13" width="14.42578125" customWidth="1" outlineLevel="1"/>
    <col min="14" max="14" width="13.28515625" customWidth="1" outlineLevel="1"/>
    <col min="15" max="15" width="15" customWidth="1" outlineLevel="1"/>
    <col min="16" max="16" width="9.85546875" customWidth="1" outlineLevel="1"/>
    <col min="17" max="17" width="22.7109375" customWidth="1" outlineLevel="1"/>
    <col min="18" max="18" width="22.140625" customWidth="1" outlineLevel="1"/>
    <col min="19" max="19" width="7" customWidth="1"/>
    <col min="20" max="20" width="9" customWidth="1" outlineLevel="1"/>
    <col min="21" max="21" width="10.42578125" customWidth="1" outlineLevel="1"/>
    <col min="22" max="23" width="6" customWidth="1" outlineLevel="1"/>
    <col min="24" max="24" width="7.85546875" customWidth="1" outlineLevel="1"/>
    <col min="25" max="25" width="14" customWidth="1" outlineLevel="1"/>
    <col min="26" max="26" width="11" customWidth="1"/>
    <col min="27" max="27" width="11.140625" customWidth="1" outlineLevel="1"/>
    <col min="28" max="28" width="12.5703125" customWidth="1" outlineLevel="1"/>
    <col min="29" max="29" width="8.140625" customWidth="1" outlineLevel="1"/>
    <col min="30" max="30" width="12" customWidth="1" outlineLevel="1"/>
    <col min="31" max="31" width="10" customWidth="1" outlineLevel="1"/>
    <col min="32" max="32" width="17.85546875" customWidth="1" outlineLevel="1"/>
    <col min="33" max="33" width="13.5703125" customWidth="1" outlineLevel="1"/>
    <col min="34" max="34" width="11.5703125" customWidth="1" outlineLevel="1"/>
    <col min="35" max="35" width="22.42578125" customWidth="1" outlineLevel="1"/>
    <col min="36" max="36" width="27.42578125" customWidth="1" outlineLevel="1"/>
    <col min="37" max="37" width="53.5703125" customWidth="1"/>
    <col min="38" max="38" width="26.85546875" customWidth="1" outlineLevel="1"/>
    <col min="39" max="39" width="23.85546875" customWidth="1" outlineLevel="1"/>
    <col min="40" max="40" width="17" customWidth="1"/>
    <col min="41" max="41" width="26.7109375" customWidth="1" outlineLevel="1"/>
    <col min="42" max="42" width="24.7109375" customWidth="1" outlineLevel="1"/>
    <col min="43" max="43" width="8" customWidth="1" outlineLevel="1"/>
    <col min="44" max="44" width="34.7109375" customWidth="1" outlineLevel="1"/>
    <col min="45" max="45" width="25.140625" customWidth="1" outlineLevel="1"/>
    <col min="46" max="46" width="38.5703125" customWidth="1" outlineLevel="1"/>
    <col min="47" max="47" width="36.140625" customWidth="1" outlineLevel="1"/>
    <col min="48" max="48" width="11.5703125" customWidth="1"/>
    <col min="49" max="49" width="17.42578125" customWidth="1"/>
    <col min="50" max="55" width="17.42578125" customWidth="1" outlineLevel="1"/>
    <col min="56" max="56" width="30.85546875" customWidth="1" outlineLevel="1"/>
    <col min="57" max="57" width="35" customWidth="1" outlineLevel="1"/>
    <col min="58" max="58" width="21" customWidth="1" outlineLevel="1"/>
  </cols>
  <sheetData>
    <row r="1" spans="1:58" x14ac:dyDescent="0.25">
      <c r="A1" s="86" t="s">
        <v>298</v>
      </c>
      <c r="B1" s="86" t="s">
        <v>494</v>
      </c>
      <c r="C1" s="86" t="s">
        <v>421</v>
      </c>
      <c r="D1" s="86" t="s">
        <v>0</v>
      </c>
      <c r="E1" s="86" t="s">
        <v>38</v>
      </c>
      <c r="F1" s="86" t="s">
        <v>65</v>
      </c>
      <c r="G1" s="86" t="s">
        <v>66</v>
      </c>
      <c r="H1" s="87" t="s">
        <v>8</v>
      </c>
      <c r="I1" s="86" t="s">
        <v>495</v>
      </c>
      <c r="J1" s="86" t="s">
        <v>497</v>
      </c>
      <c r="K1" s="86" t="s">
        <v>498</v>
      </c>
      <c r="L1" s="86" t="s">
        <v>499</v>
      </c>
      <c r="M1" s="86" t="s">
        <v>496</v>
      </c>
      <c r="N1" s="86" t="s">
        <v>500</v>
      </c>
      <c r="O1" s="86" t="s">
        <v>501</v>
      </c>
      <c r="P1" s="86" t="s">
        <v>206</v>
      </c>
      <c r="Q1" s="86" t="s">
        <v>505</v>
      </c>
      <c r="R1" s="86" t="s">
        <v>530</v>
      </c>
      <c r="S1" s="86" t="s">
        <v>424</v>
      </c>
      <c r="T1" s="86" t="s">
        <v>158</v>
      </c>
      <c r="U1" s="86" t="s">
        <v>652</v>
      </c>
      <c r="V1" s="86" t="s">
        <v>160</v>
      </c>
      <c r="W1" s="86" t="s">
        <v>161</v>
      </c>
      <c r="X1" s="86" t="s">
        <v>180</v>
      </c>
      <c r="Y1" s="86" t="s">
        <v>181</v>
      </c>
      <c r="Z1" s="86" t="s">
        <v>403</v>
      </c>
      <c r="AA1" s="86" t="s">
        <v>404</v>
      </c>
      <c r="AB1" s="86" t="s">
        <v>653</v>
      </c>
      <c r="AC1" s="86" t="s">
        <v>405</v>
      </c>
      <c r="AD1" s="86" t="s">
        <v>406</v>
      </c>
      <c r="AE1" s="86" t="s">
        <v>407</v>
      </c>
      <c r="AF1" s="86" t="s">
        <v>654</v>
      </c>
      <c r="AG1" s="86" t="s">
        <v>408</v>
      </c>
      <c r="AH1" s="86" t="s">
        <v>604</v>
      </c>
      <c r="AI1" s="86" t="s">
        <v>540</v>
      </c>
      <c r="AJ1" s="86" t="s">
        <v>480</v>
      </c>
      <c r="AK1" s="86" t="s">
        <v>425</v>
      </c>
      <c r="AL1" s="86" t="s">
        <v>525</v>
      </c>
      <c r="AM1" s="86" t="s">
        <v>552</v>
      </c>
      <c r="AN1" s="86" t="s">
        <v>396</v>
      </c>
      <c r="AO1" s="86" t="s">
        <v>397</v>
      </c>
      <c r="AP1" s="86" t="s">
        <v>321</v>
      </c>
      <c r="AQ1" s="86" t="s">
        <v>145</v>
      </c>
      <c r="AR1" s="86" t="s">
        <v>399</v>
      </c>
      <c r="AS1" s="86" t="s">
        <v>146</v>
      </c>
      <c r="AT1" s="86" t="s">
        <v>162</v>
      </c>
      <c r="AU1" s="86" t="s">
        <v>398</v>
      </c>
      <c r="AV1" s="86" t="s">
        <v>597</v>
      </c>
      <c r="AW1" s="86" t="s">
        <v>41</v>
      </c>
      <c r="AX1" s="86" t="s">
        <v>1208</v>
      </c>
      <c r="AY1" s="86" t="s">
        <v>1209</v>
      </c>
      <c r="AZ1" s="86" t="s">
        <v>1210</v>
      </c>
      <c r="BA1" s="86" t="s">
        <v>1211</v>
      </c>
      <c r="BB1" s="86" t="s">
        <v>1212</v>
      </c>
      <c r="BC1" s="86" t="s">
        <v>1213</v>
      </c>
      <c r="BD1" s="86" t="s">
        <v>702</v>
      </c>
      <c r="BE1" s="86" t="s">
        <v>701</v>
      </c>
      <c r="BF1" s="86" t="s">
        <v>704</v>
      </c>
    </row>
    <row r="2" spans="1:58" x14ac:dyDescent="0.25">
      <c r="A2" s="6" t="s">
        <v>323</v>
      </c>
      <c r="B2" s="84" t="s">
        <v>74</v>
      </c>
      <c r="C2" s="5" t="s">
        <v>324</v>
      </c>
      <c r="D2" t="s">
        <v>766</v>
      </c>
      <c r="E2" s="88">
        <v>-28.673400000000001</v>
      </c>
      <c r="F2" s="88">
        <v>119.9633</v>
      </c>
      <c r="G2" s="2" t="s">
        <v>49</v>
      </c>
      <c r="H2" s="4" t="s">
        <v>67</v>
      </c>
      <c r="I2" s="78">
        <f>J2+K2+L2</f>
        <v>1021.77</v>
      </c>
      <c r="J2" s="78">
        <v>422.37</v>
      </c>
      <c r="K2" s="78">
        <v>599.4</v>
      </c>
      <c r="L2" s="78"/>
      <c r="M2" s="78"/>
      <c r="N2" s="78"/>
      <c r="O2" s="78"/>
      <c r="P2" t="s">
        <v>156</v>
      </c>
      <c r="Q2" s="5" t="s">
        <v>191</v>
      </c>
      <c r="R2" s="5" t="s">
        <v>322</v>
      </c>
      <c r="S2" s="89">
        <f>559.4/1021*33.59+(1-559.4/1021)*33.79</f>
        <v>33.680421155729675</v>
      </c>
      <c r="T2" s="83">
        <f>559.4/1021*46.13+(1-559.4/1021)*46.14</f>
        <v>46.134521057786486</v>
      </c>
      <c r="Y2">
        <v>18</v>
      </c>
      <c r="Z2">
        <v>64.22</v>
      </c>
      <c r="AA2">
        <v>9.93</v>
      </c>
      <c r="AB2">
        <v>9.5799999999999996E-2</v>
      </c>
      <c r="AC2">
        <v>2.1000000000000001E-2</v>
      </c>
      <c r="AD2">
        <v>0.02</v>
      </c>
      <c r="AF2" s="83">
        <f>AA2+AB2</f>
        <v>10.0258</v>
      </c>
      <c r="AI2" s="83">
        <f>559.4/1021*41.42+(1-559.4/1021)*43.15</f>
        <v>42.202142997061699</v>
      </c>
      <c r="AJ2" s="5" t="s">
        <v>191</v>
      </c>
      <c r="AK2" t="s">
        <v>149</v>
      </c>
      <c r="AL2" s="5" t="s">
        <v>557</v>
      </c>
      <c r="AM2" t="s">
        <v>761</v>
      </c>
      <c r="AX2" s="90" t="s">
        <v>1214</v>
      </c>
      <c r="AY2" s="90"/>
      <c r="AZ2" s="90" t="s">
        <v>1214</v>
      </c>
      <c r="BA2" s="90"/>
      <c r="BB2" s="91" t="s">
        <v>1215</v>
      </c>
      <c r="BC2" s="91"/>
      <c r="BD2" t="str">
        <f>"&lt;a href="&amp;Q2&amp;"target=""_blank""&gt;View Source&lt;/a&gt;"</f>
        <v>&lt;a href=https://mindax.com.au/upload/documents/investors/asx-announcements/20230929_6A1151719_MDXa.pdf target="_blank"&gt;View Source&lt;/a&gt;</v>
      </c>
      <c r="BE2" t="str">
        <f>"&lt;a href="&amp;R2&amp;"target=""_blank""&gt;View Source&lt;/a&gt;"</f>
        <v>&lt;a href=https://minedex.dmirs.wa.gov.au/Web/projects/details/2a2fe3da-834b-4af8-b1fc-2b056083534b target="_blank"&gt;View Source&lt;/a&gt;</v>
      </c>
      <c r="BF2" t="str">
        <f>"&lt;a href="&amp;AJ2&amp;"target=""_blank""&gt;View Source&lt;/a&gt;"</f>
        <v>&lt;a href=https://mindax.com.au/upload/documents/investors/asx-announcements/20230929_6A1151719_MDXa.pdf target="_blank"&gt;View Source&lt;/a&gt;</v>
      </c>
    </row>
    <row r="3" spans="1:58" x14ac:dyDescent="0.25">
      <c r="A3" s="6" t="s">
        <v>309</v>
      </c>
      <c r="B3" s="84" t="s">
        <v>516</v>
      </c>
      <c r="C3" s="5" t="s">
        <v>308</v>
      </c>
      <c r="D3" t="s">
        <v>767</v>
      </c>
      <c r="E3" s="88">
        <v>-33.2438</v>
      </c>
      <c r="F3" s="88">
        <v>135.6677</v>
      </c>
      <c r="G3" s="2" t="s">
        <v>45</v>
      </c>
      <c r="H3" s="4" t="s">
        <v>67</v>
      </c>
      <c r="I3" s="78">
        <f t="shared" ref="I3" si="0">J3+K3+L3</f>
        <v>4510</v>
      </c>
      <c r="J3" s="78">
        <f>474+796</f>
        <v>1270</v>
      </c>
      <c r="K3" s="78">
        <f>667+351</f>
        <v>1018</v>
      </c>
      <c r="L3" s="78">
        <v>2222</v>
      </c>
      <c r="M3" s="78">
        <f>N3+O3</f>
        <v>3681</v>
      </c>
      <c r="N3" s="78">
        <v>2131</v>
      </c>
      <c r="O3" s="78">
        <v>1550</v>
      </c>
      <c r="P3" t="s">
        <v>156</v>
      </c>
      <c r="Q3" s="5" t="s">
        <v>164</v>
      </c>
      <c r="R3" s="5" t="s">
        <v>656</v>
      </c>
      <c r="S3">
        <v>16</v>
      </c>
      <c r="T3">
        <v>53</v>
      </c>
      <c r="U3">
        <v>13</v>
      </c>
      <c r="V3">
        <v>0.08</v>
      </c>
      <c r="X3">
        <v>3.5</v>
      </c>
      <c r="Z3">
        <v>69.7</v>
      </c>
      <c r="AA3">
        <v>1.22</v>
      </c>
      <c r="AB3">
        <v>1.1000000000000001</v>
      </c>
      <c r="AC3">
        <v>4.0000000000000001E-3</v>
      </c>
      <c r="AF3" s="83">
        <f t="shared" ref="AF3" si="1">AA3+AB3</f>
        <v>2.3200000000000003</v>
      </c>
      <c r="AH3">
        <v>53</v>
      </c>
      <c r="AJ3" s="5" t="s">
        <v>164</v>
      </c>
      <c r="AK3" t="s">
        <v>524</v>
      </c>
      <c r="AL3" s="5" t="s">
        <v>586</v>
      </c>
      <c r="AM3" t="s">
        <v>762</v>
      </c>
      <c r="AN3" s="5">
        <v>2019</v>
      </c>
      <c r="AO3">
        <f>1.74/0.7*1000</f>
        <v>2485.7142857142858</v>
      </c>
      <c r="AP3">
        <f>1.68/0.7*1000</f>
        <v>2400</v>
      </c>
      <c r="AQ3">
        <v>20</v>
      </c>
      <c r="AR3" s="83">
        <f>44/0.7</f>
        <v>62.857142857142861</v>
      </c>
      <c r="AT3">
        <v>12</v>
      </c>
      <c r="AU3">
        <v>250</v>
      </c>
      <c r="AX3" s="90" t="s">
        <v>1214</v>
      </c>
      <c r="AY3" s="90"/>
      <c r="AZ3" s="90" t="s">
        <v>1214</v>
      </c>
      <c r="BA3" s="90"/>
      <c r="BB3" s="91"/>
      <c r="BC3" s="91" t="s">
        <v>656</v>
      </c>
      <c r="BD3" t="str">
        <f t="shared" ref="BD3:BD66" si="2">"&lt;a href="&amp;Q3&amp;"target=""_blank""&gt;View Source&lt;/a&gt;"</f>
        <v>&lt;a href=https://wcsecure.weblink.com.au/pdf/IRD/02884290.pdf target="_blank"&gt;View Source&lt;/a&gt;</v>
      </c>
      <c r="BE3" t="str">
        <f>"&lt;a href="&amp;R3&amp;"target=""_blank""&gt;View Source&lt;/a&gt;"</f>
        <v>&lt;a href=https://minerals.sarig.sa.gov.au/MineralDepositDetails.aspx?DEPOSIT_NO=4902&amp;ref=1target="_blank"&gt;View Source&lt;/a&gt;</v>
      </c>
      <c r="BF3" t="str">
        <f t="shared" ref="BF3:BF66" si="3">"&lt;a href="&amp;AJ3&amp;"target=""_blank""&gt;View Source&lt;/a&gt;"</f>
        <v>&lt;a href=https://wcsecure.weblink.com.au/pdf/IRD/02884290.pdf target="_blank"&gt;View Source&lt;/a&gt;</v>
      </c>
    </row>
    <row r="4" spans="1:58" x14ac:dyDescent="0.25">
      <c r="A4" s="6" t="s">
        <v>687</v>
      </c>
      <c r="B4" s="84" t="s">
        <v>634</v>
      </c>
      <c r="C4" s="5" t="s">
        <v>303</v>
      </c>
      <c r="D4" t="s">
        <v>126</v>
      </c>
      <c r="E4" s="88">
        <v>-21.251860000000001</v>
      </c>
      <c r="F4" s="88">
        <v>119.0557</v>
      </c>
      <c r="G4" s="2" t="s">
        <v>49</v>
      </c>
      <c r="H4" s="4" t="s">
        <v>21</v>
      </c>
      <c r="I4" s="78">
        <f t="shared" ref="I4:I33" si="4">J4+K4+L4</f>
        <v>6198</v>
      </c>
      <c r="J4" s="78">
        <v>1049</v>
      </c>
      <c r="K4" s="78">
        <v>4862</v>
      </c>
      <c r="L4" s="78">
        <v>287</v>
      </c>
      <c r="M4" s="78">
        <f>N4+O4</f>
        <v>832</v>
      </c>
      <c r="N4" s="78"/>
      <c r="O4" s="78">
        <v>832</v>
      </c>
      <c r="P4" t="s">
        <v>156</v>
      </c>
      <c r="Q4" s="5" t="s">
        <v>417</v>
      </c>
      <c r="R4" s="5" t="s">
        <v>685</v>
      </c>
      <c r="S4">
        <v>30.5</v>
      </c>
      <c r="T4">
        <v>41.3</v>
      </c>
      <c r="U4">
        <v>2.35</v>
      </c>
      <c r="Y4">
        <v>9</v>
      </c>
      <c r="Z4">
        <v>67</v>
      </c>
      <c r="AA4">
        <v>5.62</v>
      </c>
      <c r="AB4">
        <v>0.28999999999999998</v>
      </c>
      <c r="AF4" s="83">
        <f>AA4+AB4</f>
        <v>5.91</v>
      </c>
      <c r="AH4">
        <v>53</v>
      </c>
      <c r="AI4">
        <v>23.1</v>
      </c>
      <c r="AJ4" s="5" t="s">
        <v>488</v>
      </c>
      <c r="AK4" t="s">
        <v>21</v>
      </c>
      <c r="AT4">
        <v>22</v>
      </c>
      <c r="AX4" s="90" t="s">
        <v>1214</v>
      </c>
      <c r="AY4" s="90"/>
      <c r="AZ4" s="90" t="s">
        <v>1214</v>
      </c>
      <c r="BA4" s="90"/>
      <c r="BB4" s="91"/>
      <c r="BC4" s="91"/>
      <c r="BD4" t="str">
        <f t="shared" si="2"/>
        <v>&lt;a href=https://cdn.fortescue.com/docs/default-source/uncategorised/fy24-annual-report.pdf target="_blank"&gt;View Source&lt;/a&gt;</v>
      </c>
      <c r="BF4" t="str">
        <f t="shared" si="3"/>
        <v>&lt;a href=https://cdn.fortescue.com/docs/default-source/announcements-and-reports/iron-bridge-magnetite-reserves-and-resources-update.pdf?sfvrsn=50020b06_1 target="_blank"&gt;View Source&lt;/a&gt;</v>
      </c>
    </row>
    <row r="5" spans="1:58" x14ac:dyDescent="0.25">
      <c r="A5" s="6" t="s">
        <v>299</v>
      </c>
      <c r="B5" s="84" t="s">
        <v>411</v>
      </c>
      <c r="C5" s="5" t="s">
        <v>297</v>
      </c>
      <c r="D5" t="s">
        <v>296</v>
      </c>
      <c r="E5" s="88">
        <v>-21.079588709500001</v>
      </c>
      <c r="F5" s="88">
        <v>116.1473524749</v>
      </c>
      <c r="G5" s="2" t="s">
        <v>49</v>
      </c>
      <c r="H5" s="4" t="s">
        <v>21</v>
      </c>
      <c r="I5" s="78">
        <f t="shared" si="4"/>
        <v>5088</v>
      </c>
      <c r="J5" s="78">
        <v>1489</v>
      </c>
      <c r="K5" s="78">
        <v>2793</v>
      </c>
      <c r="L5" s="78">
        <v>806</v>
      </c>
      <c r="M5" s="78"/>
      <c r="N5" s="78"/>
      <c r="O5" s="78"/>
      <c r="Q5" s="5" t="s">
        <v>1258</v>
      </c>
      <c r="R5" s="5" t="s">
        <v>300</v>
      </c>
      <c r="S5">
        <v>31.77</v>
      </c>
      <c r="AF5" s="83"/>
      <c r="AK5" t="s">
        <v>21</v>
      </c>
      <c r="AX5" s="90" t="s">
        <v>1214</v>
      </c>
      <c r="AY5" s="90"/>
      <c r="AZ5" s="90" t="s">
        <v>1214</v>
      </c>
      <c r="BA5" s="90"/>
      <c r="BB5" s="91" t="s">
        <v>1216</v>
      </c>
      <c r="BC5" s="91"/>
      <c r="BD5" t="str">
        <f t="shared" si="2"/>
        <v>&lt;a href=https://www.citic.com/uploadfile/2017/0525/20170525095412682.pdftarget="_blank"&gt;View Source&lt;/a&gt;</v>
      </c>
      <c r="BE5" t="str">
        <f t="shared" ref="BE5:BE67" si="5">"&lt;a href="&amp;R5&amp;"target=""_blank""&gt;View Source&lt;/a&gt;"</f>
        <v>&lt;a href=https://minedex.dmirs.wa.gov.au/Web/sites/details/5d4cc2c8-f9c9-4791-baf9-45bae3fe04db target="_blank"&gt;View Source&lt;/a&gt;</v>
      </c>
    </row>
    <row r="6" spans="1:58" x14ac:dyDescent="0.25">
      <c r="A6" s="5" t="s">
        <v>684</v>
      </c>
      <c r="B6" s="84" t="s">
        <v>71</v>
      </c>
      <c r="C6" s="5" t="s">
        <v>313</v>
      </c>
      <c r="D6" t="s">
        <v>44</v>
      </c>
      <c r="E6" s="88">
        <v>-33.15</v>
      </c>
      <c r="F6" s="88">
        <v>139.70131000000001</v>
      </c>
      <c r="G6" s="2" t="s">
        <v>45</v>
      </c>
      <c r="H6" s="4" t="s">
        <v>67</v>
      </c>
      <c r="I6" s="78">
        <f>J6+K6+L6</f>
        <v>1187</v>
      </c>
      <c r="J6" s="78"/>
      <c r="K6" s="78">
        <v>1187</v>
      </c>
      <c r="L6" s="78"/>
      <c r="M6" s="78"/>
      <c r="N6" s="78"/>
      <c r="O6" s="78"/>
      <c r="Q6" s="5" t="s">
        <v>317</v>
      </c>
      <c r="R6" s="5" t="s">
        <v>657</v>
      </c>
      <c r="S6">
        <v>23.2</v>
      </c>
      <c r="T6">
        <v>44.4</v>
      </c>
      <c r="U6">
        <v>7.2</v>
      </c>
      <c r="V6">
        <v>0.21</v>
      </c>
      <c r="X6">
        <v>5.4</v>
      </c>
      <c r="Y6">
        <v>0</v>
      </c>
      <c r="AF6" s="83"/>
      <c r="AK6" t="s">
        <v>148</v>
      </c>
      <c r="AL6" s="5" t="s">
        <v>451</v>
      </c>
      <c r="AM6" t="s">
        <v>547</v>
      </c>
      <c r="AV6" s="5" t="s">
        <v>318</v>
      </c>
      <c r="AX6" s="90" t="s">
        <v>1214</v>
      </c>
      <c r="AY6" s="90"/>
      <c r="AZ6" s="90"/>
      <c r="BA6" s="90" t="s">
        <v>1217</v>
      </c>
      <c r="BB6" s="91"/>
      <c r="BC6" s="91" t="s">
        <v>657</v>
      </c>
      <c r="BD6" t="str">
        <f t="shared" si="2"/>
        <v>&lt;a href=https://company-announcements.afr.com/asx/mgt/388fcf20-5548-11f0-ab50-fa3dfe1111bc.pdf target="_blank"&gt;View Source&lt;/a&gt;</v>
      </c>
      <c r="BE6" t="str">
        <f t="shared" si="5"/>
        <v>&lt;a href=https://minerals.sarig.sa.gov.au/MineralDepositDetails.aspx?DEPOSIT_NO=9610&amp;ref=1target="_blank"&gt;View Source&lt;/a&gt;</v>
      </c>
    </row>
    <row r="7" spans="1:58" x14ac:dyDescent="0.25">
      <c r="A7" s="6" t="s">
        <v>327</v>
      </c>
      <c r="B7" s="84" t="s">
        <v>76</v>
      </c>
      <c r="C7" s="5" t="s">
        <v>329</v>
      </c>
      <c r="D7" t="s">
        <v>328</v>
      </c>
      <c r="E7" s="88">
        <v>-20.256</v>
      </c>
      <c r="F7" s="88">
        <v>119.11799999999999</v>
      </c>
      <c r="G7" s="2" t="s">
        <v>49</v>
      </c>
      <c r="H7" s="4" t="s">
        <v>67</v>
      </c>
      <c r="I7" s="78">
        <f>J7+K7+L7</f>
        <v>2010</v>
      </c>
      <c r="J7" s="78">
        <v>1100</v>
      </c>
      <c r="K7" s="78">
        <v>910</v>
      </c>
      <c r="L7" s="78"/>
      <c r="M7" s="78">
        <f>N7+O7</f>
        <v>970</v>
      </c>
      <c r="N7" s="78"/>
      <c r="O7" s="78">
        <v>970</v>
      </c>
      <c r="P7" t="s">
        <v>166</v>
      </c>
      <c r="Q7" s="5" t="s">
        <v>203</v>
      </c>
      <c r="R7" s="5" t="s">
        <v>204</v>
      </c>
      <c r="S7">
        <v>36.5</v>
      </c>
      <c r="T7">
        <v>39.270000000000003</v>
      </c>
      <c r="U7">
        <v>7.9000000000000001E-2</v>
      </c>
      <c r="V7">
        <v>8.8999999999999996E-2</v>
      </c>
      <c r="W7">
        <v>4.5999999999999999E-2</v>
      </c>
      <c r="X7">
        <v>4.0999999999999996</v>
      </c>
      <c r="Y7">
        <v>15</v>
      </c>
      <c r="Z7">
        <v>68.900000000000006</v>
      </c>
      <c r="AA7">
        <v>4.0999999999999996</v>
      </c>
      <c r="AB7">
        <v>2.5000000000000001E-2</v>
      </c>
      <c r="AC7">
        <v>1.2E-2</v>
      </c>
      <c r="AD7">
        <v>6.0000000000000001E-3</v>
      </c>
      <c r="AF7" s="83">
        <f>AA7+AB7</f>
        <v>4.125</v>
      </c>
      <c r="AG7">
        <v>15</v>
      </c>
      <c r="AI7">
        <v>37.200000000000003</v>
      </c>
      <c r="AJ7" s="5" t="s">
        <v>203</v>
      </c>
      <c r="AK7" t="s">
        <v>541</v>
      </c>
      <c r="AL7" s="5" t="s">
        <v>555</v>
      </c>
      <c r="AT7">
        <v>3</v>
      </c>
      <c r="AV7" s="5"/>
      <c r="AW7" t="s">
        <v>456</v>
      </c>
      <c r="AX7" s="90" t="s">
        <v>1214</v>
      </c>
      <c r="AY7" s="90"/>
      <c r="AZ7" s="90" t="s">
        <v>1214</v>
      </c>
      <c r="BA7" s="90"/>
      <c r="BB7" s="91" t="s">
        <v>1218</v>
      </c>
      <c r="BC7" s="91"/>
      <c r="BD7" t="str">
        <f t="shared" si="2"/>
        <v>&lt;a href=https://www.aspecthuntley.com.au/asxdata/20090414/pdf/00943689.pdf target="_blank"&gt;View Source&lt;/a&gt;</v>
      </c>
      <c r="BE7" t="str">
        <f t="shared" si="5"/>
        <v>&lt;a href=https://minedex.dmirs.wa.gov.au/Web/sites/details/78fb7072-c666-4088-a7d9-b56b3cfa5fcb target="_blank"&gt;View Source&lt;/a&gt;</v>
      </c>
      <c r="BF7" t="str">
        <f t="shared" si="3"/>
        <v>&lt;a href=https://www.aspecthuntley.com.au/asxdata/20090414/pdf/00943689.pdf target="_blank"&gt;View Source&lt;/a&gt;</v>
      </c>
    </row>
    <row r="8" spans="1:58" x14ac:dyDescent="0.25">
      <c r="A8" s="6" t="s">
        <v>312</v>
      </c>
      <c r="B8" s="84" t="s">
        <v>69</v>
      </c>
      <c r="C8" s="5" t="s">
        <v>311</v>
      </c>
      <c r="D8" s="2" t="s">
        <v>127</v>
      </c>
      <c r="E8" s="88">
        <v>-32.438000000000002</v>
      </c>
      <c r="F8" s="88">
        <v>141.149</v>
      </c>
      <c r="G8" s="2" t="s">
        <v>70</v>
      </c>
      <c r="H8" s="4" t="s">
        <v>67</v>
      </c>
      <c r="I8" s="78">
        <f t="shared" si="4"/>
        <v>4415</v>
      </c>
      <c r="J8" s="78">
        <v>1882</v>
      </c>
      <c r="K8" s="78">
        <v>2005</v>
      </c>
      <c r="L8" s="78">
        <v>528</v>
      </c>
      <c r="M8" s="78">
        <f>N8+O8</f>
        <v>2300</v>
      </c>
      <c r="N8" s="78"/>
      <c r="O8" s="78">
        <v>2300</v>
      </c>
      <c r="P8" t="s">
        <v>156</v>
      </c>
      <c r="Q8" s="5" t="s">
        <v>247</v>
      </c>
      <c r="R8" s="5" t="s">
        <v>685</v>
      </c>
      <c r="Z8">
        <v>68.400000000000006</v>
      </c>
      <c r="AA8">
        <v>3.85</v>
      </c>
      <c r="AB8">
        <v>0.3</v>
      </c>
      <c r="AC8">
        <v>8.2000000000000007E-3</v>
      </c>
      <c r="AD8">
        <v>5.5999999999999999E-3</v>
      </c>
      <c r="AE8">
        <v>-2.66</v>
      </c>
      <c r="AF8" s="83">
        <f t="shared" ref="AF8:AF13" si="6">AA8+AB8</f>
        <v>4.1500000000000004</v>
      </c>
      <c r="AG8">
        <v>4</v>
      </c>
      <c r="AI8">
        <v>11.4</v>
      </c>
      <c r="AJ8" s="5" t="s">
        <v>247</v>
      </c>
      <c r="AK8" t="s">
        <v>524</v>
      </c>
      <c r="AL8" s="5" t="s">
        <v>579</v>
      </c>
      <c r="AM8" t="s">
        <v>578</v>
      </c>
      <c r="AN8">
        <v>2025</v>
      </c>
      <c r="AO8">
        <v>4960</v>
      </c>
      <c r="AP8">
        <v>1360</v>
      </c>
      <c r="AQ8">
        <v>10.93</v>
      </c>
      <c r="AR8" s="78">
        <v>75.91</v>
      </c>
      <c r="AS8" s="78">
        <v>138.37</v>
      </c>
      <c r="AT8">
        <v>12</v>
      </c>
      <c r="AU8">
        <v>257</v>
      </c>
      <c r="AV8" s="5" t="s">
        <v>811</v>
      </c>
      <c r="AX8" s="90" t="s">
        <v>1214</v>
      </c>
      <c r="AY8" s="90"/>
      <c r="AZ8" s="90" t="s">
        <v>1214</v>
      </c>
      <c r="BA8" s="90"/>
      <c r="BB8" s="91"/>
      <c r="BC8" s="91"/>
      <c r="BD8" t="str">
        <f t="shared" si="2"/>
        <v>&lt;a href=https://wcsecure.weblink.com.au/pdf/HIO/02820097.pdf target="_blank"&gt;View Source&lt;/a&gt;</v>
      </c>
      <c r="BF8" t="str">
        <f t="shared" si="3"/>
        <v>&lt;a href=https://wcsecure.weblink.com.au/pdf/HIO/02820097.pdf target="_blank"&gt;View Source&lt;/a&gt;</v>
      </c>
    </row>
    <row r="9" spans="1:58" x14ac:dyDescent="0.25">
      <c r="A9" s="6" t="s">
        <v>314</v>
      </c>
      <c r="B9" s="84" t="s">
        <v>316</v>
      </c>
      <c r="C9" s="5" t="s">
        <v>313</v>
      </c>
      <c r="D9" t="s">
        <v>44</v>
      </c>
      <c r="E9" s="88">
        <v>-32.9565779717</v>
      </c>
      <c r="F9" s="88">
        <v>139.7123104325</v>
      </c>
      <c r="G9" s="2" t="s">
        <v>45</v>
      </c>
      <c r="H9" s="4" t="s">
        <v>67</v>
      </c>
      <c r="I9" s="78">
        <f t="shared" si="4"/>
        <v>3837</v>
      </c>
      <c r="J9" s="78">
        <v>1973</v>
      </c>
      <c r="K9" s="78">
        <v>1864</v>
      </c>
      <c r="L9" s="78"/>
      <c r="M9" s="78">
        <f>N9+O9</f>
        <v>1977</v>
      </c>
      <c r="N9" s="78"/>
      <c r="O9" s="78">
        <v>1977</v>
      </c>
      <c r="P9" t="s">
        <v>156</v>
      </c>
      <c r="Q9" s="5" t="s">
        <v>317</v>
      </c>
      <c r="R9" s="5" t="s">
        <v>658</v>
      </c>
      <c r="S9" s="92">
        <v>17.399999999999999</v>
      </c>
      <c r="T9" s="92">
        <v>48.92</v>
      </c>
      <c r="U9" s="92">
        <v>8.2799999999999994</v>
      </c>
      <c r="V9" s="92">
        <v>0.18</v>
      </c>
      <c r="W9" s="92"/>
      <c r="X9" s="92">
        <v>5.59</v>
      </c>
      <c r="Y9" s="92">
        <v>8</v>
      </c>
      <c r="Z9">
        <v>68.5</v>
      </c>
      <c r="AA9" s="92">
        <v>3.2</v>
      </c>
      <c r="AB9" s="92">
        <v>0.4</v>
      </c>
      <c r="AC9" s="92"/>
      <c r="AD9" s="92"/>
      <c r="AE9" s="92"/>
      <c r="AF9" s="83">
        <f t="shared" si="6"/>
        <v>3.6</v>
      </c>
      <c r="AG9" s="92"/>
      <c r="AH9" s="92">
        <v>38</v>
      </c>
      <c r="AI9" s="92"/>
      <c r="AJ9" s="5" t="s">
        <v>1266</v>
      </c>
      <c r="AK9" t="s">
        <v>541</v>
      </c>
      <c r="AL9" s="5" t="s">
        <v>544</v>
      </c>
      <c r="AM9" t="s">
        <v>1139</v>
      </c>
      <c r="AN9" s="5">
        <v>2021</v>
      </c>
      <c r="AO9">
        <v>572</v>
      </c>
      <c r="AP9">
        <v>296</v>
      </c>
      <c r="AQ9" s="92">
        <v>14</v>
      </c>
      <c r="AR9" s="92">
        <f>3.03+4.48+0.87+0.86+24.4</f>
        <v>33.64</v>
      </c>
      <c r="AS9" s="92">
        <v>66</v>
      </c>
      <c r="AT9" s="92">
        <v>1.9</v>
      </c>
      <c r="AU9" s="92">
        <v>68</v>
      </c>
      <c r="AV9" s="5" t="s">
        <v>144</v>
      </c>
      <c r="AW9" t="s">
        <v>763</v>
      </c>
      <c r="AX9" s="90" t="s">
        <v>1214</v>
      </c>
      <c r="AY9" s="90"/>
      <c r="AZ9" s="90" t="s">
        <v>1214</v>
      </c>
      <c r="BA9" s="90"/>
      <c r="BB9" s="91"/>
      <c r="BC9" s="91" t="s">
        <v>658</v>
      </c>
      <c r="BD9" t="str">
        <f t="shared" si="2"/>
        <v>&lt;a href=https://company-announcements.afr.com/asx/mgt/388fcf20-5548-11f0-ab50-fa3dfe1111bc.pdf target="_blank"&gt;View Source&lt;/a&gt;</v>
      </c>
      <c r="BE9" t="str">
        <f t="shared" si="5"/>
        <v>&lt;a href=https://minerals.sarig.sa.gov.au/MineralDepositDetails.aspx?DEPOSIT_NO=752&amp;ref=1target="_blank"&gt;View Source&lt;/a&gt;</v>
      </c>
      <c r="BF9" t="str">
        <f t="shared" si="3"/>
        <v>&lt;a href=https://api.investi.com.au/api/announcements/mgt/1af6e7b4-894.pdftarget="_blank"&gt;View Source&lt;/a&gt;</v>
      </c>
    </row>
    <row r="10" spans="1:58" x14ac:dyDescent="0.25">
      <c r="A10" s="6" t="s">
        <v>383</v>
      </c>
      <c r="B10" s="84" t="s">
        <v>57</v>
      </c>
      <c r="C10" s="5" t="s">
        <v>384</v>
      </c>
      <c r="D10" t="s">
        <v>385</v>
      </c>
      <c r="E10" s="88">
        <v>-26.052320000000002</v>
      </c>
      <c r="F10" s="88">
        <v>117.2414</v>
      </c>
      <c r="G10" s="2" t="s">
        <v>49</v>
      </c>
      <c r="H10" s="4" t="s">
        <v>67</v>
      </c>
      <c r="I10" s="78">
        <f t="shared" si="4"/>
        <v>2871</v>
      </c>
      <c r="J10" s="78">
        <v>1160</v>
      </c>
      <c r="K10" s="78">
        <v>877</v>
      </c>
      <c r="L10" s="78">
        <v>834</v>
      </c>
      <c r="M10" s="78"/>
      <c r="N10" s="78"/>
      <c r="O10" s="78"/>
      <c r="Q10" s="5" t="s">
        <v>382</v>
      </c>
      <c r="R10" s="5" t="s">
        <v>189</v>
      </c>
      <c r="S10">
        <v>30.7</v>
      </c>
      <c r="T10">
        <v>45.4</v>
      </c>
      <c r="U10">
        <v>0.7</v>
      </c>
      <c r="V10">
        <v>0.03</v>
      </c>
      <c r="X10">
        <v>2.2000000000000002</v>
      </c>
      <c r="Y10">
        <v>22</v>
      </c>
      <c r="Z10">
        <v>68.5</v>
      </c>
      <c r="AA10">
        <v>3</v>
      </c>
      <c r="AB10">
        <v>0.03</v>
      </c>
      <c r="AC10">
        <v>4.0000000000000001E-3</v>
      </c>
      <c r="AF10" s="83">
        <f t="shared" si="6"/>
        <v>3.03</v>
      </c>
      <c r="AG10">
        <v>22</v>
      </c>
      <c r="AI10">
        <v>26.5</v>
      </c>
      <c r="AJ10" s="5" t="s">
        <v>177</v>
      </c>
      <c r="AK10" t="s">
        <v>541</v>
      </c>
      <c r="AL10" s="5" t="s">
        <v>569</v>
      </c>
      <c r="AM10" t="s">
        <v>563</v>
      </c>
      <c r="AN10" s="5">
        <v>2011</v>
      </c>
      <c r="AO10">
        <v>3700</v>
      </c>
      <c r="AR10">
        <v>33.659999999999997</v>
      </c>
      <c r="AT10">
        <v>22</v>
      </c>
      <c r="AV10" s="5"/>
      <c r="AW10" t="s">
        <v>764</v>
      </c>
      <c r="AX10" s="90" t="s">
        <v>1214</v>
      </c>
      <c r="AY10" s="90"/>
      <c r="AZ10" s="90" t="s">
        <v>1214</v>
      </c>
      <c r="BA10" s="90"/>
      <c r="BB10" s="91" t="s">
        <v>1219</v>
      </c>
      <c r="BC10" s="91"/>
      <c r="BD10" t="str">
        <f t="shared" si="2"/>
        <v>&lt;a href=https://announcements.asx.com.au/asxpdf/20100923/pdf/31snyf5cfp0x1v.pdf target="_blank"&gt;View Source&lt;/a&gt;</v>
      </c>
      <c r="BE10" t="str">
        <f t="shared" si="5"/>
        <v>&lt;a href=https://minedex.dmirs.wa.gov.au/Web/projects/details/aa5eda78-4085-4486-b600-5bbd9c9774ad target="_blank"&gt;View Source&lt;/a&gt;</v>
      </c>
      <c r="BF10" t="str">
        <f t="shared" si="3"/>
        <v>&lt;a href=https://www.aspecthuntley.com.au/asxdata/20110704/pdf/01194592.pdf target="_blank"&gt;View Source&lt;/a&gt;</v>
      </c>
    </row>
    <row r="11" spans="1:58" x14ac:dyDescent="0.25">
      <c r="A11" s="6" t="s">
        <v>306</v>
      </c>
      <c r="B11" s="93" t="s">
        <v>68</v>
      </c>
      <c r="C11" s="5" t="s">
        <v>306</v>
      </c>
      <c r="D11" t="s">
        <v>694</v>
      </c>
      <c r="E11" s="88">
        <v>-20.709499999999998</v>
      </c>
      <c r="F11" s="88">
        <v>117.0778</v>
      </c>
      <c r="G11" s="2" t="s">
        <v>49</v>
      </c>
      <c r="H11" s="4" t="s">
        <v>67</v>
      </c>
      <c r="I11" s="78">
        <f t="shared" si="4"/>
        <v>1915</v>
      </c>
      <c r="J11" s="78">
        <v>1434</v>
      </c>
      <c r="K11" s="78">
        <v>481</v>
      </c>
      <c r="L11" s="78"/>
      <c r="M11" s="78"/>
      <c r="N11" s="78"/>
      <c r="O11" s="78"/>
      <c r="P11" t="s">
        <v>156</v>
      </c>
      <c r="Q11" s="5" t="s">
        <v>307</v>
      </c>
      <c r="R11" s="5" t="s">
        <v>304</v>
      </c>
      <c r="S11">
        <v>30.7</v>
      </c>
      <c r="T11">
        <v>40.6</v>
      </c>
      <c r="U11">
        <v>2.44</v>
      </c>
      <c r="V11">
        <v>0.03</v>
      </c>
      <c r="W11">
        <v>0.15</v>
      </c>
      <c r="X11">
        <v>6.78</v>
      </c>
      <c r="Y11">
        <v>20</v>
      </c>
      <c r="Z11">
        <v>61.8</v>
      </c>
      <c r="AA11">
        <v>10.3</v>
      </c>
      <c r="AB11">
        <v>0.62</v>
      </c>
      <c r="AC11">
        <v>0.01</v>
      </c>
      <c r="AD11">
        <v>0.15</v>
      </c>
      <c r="AE11">
        <v>-0.9</v>
      </c>
      <c r="AF11" s="83">
        <f t="shared" si="6"/>
        <v>10.92</v>
      </c>
      <c r="AG11">
        <v>20</v>
      </c>
      <c r="AI11">
        <v>31.8</v>
      </c>
      <c r="AJ11" s="5" t="s">
        <v>307</v>
      </c>
      <c r="AK11" t="s">
        <v>541</v>
      </c>
      <c r="AL11" s="5" t="s">
        <v>306</v>
      </c>
      <c r="AM11" t="s">
        <v>765</v>
      </c>
      <c r="AN11">
        <v>2008</v>
      </c>
      <c r="AT11">
        <v>15</v>
      </c>
      <c r="AV11" s="5" t="s">
        <v>305</v>
      </c>
      <c r="AW11" t="s">
        <v>595</v>
      </c>
      <c r="AX11" s="90" t="s">
        <v>1214</v>
      </c>
      <c r="AY11" s="90"/>
      <c r="AZ11" s="90" t="s">
        <v>1214</v>
      </c>
      <c r="BA11" s="90"/>
      <c r="BB11" s="91" t="s">
        <v>1220</v>
      </c>
      <c r="BC11" s="91"/>
      <c r="BD11" t="str">
        <f t="shared" si="2"/>
        <v>&lt;a href=https://sunmirror.net/pdfs/23_Nov-Al_Maynard-Cape_Lambert_Royalty.pdf target="_blank"&gt;View Source&lt;/a&gt;</v>
      </c>
      <c r="BE11" t="str">
        <f t="shared" si="5"/>
        <v>&lt;a href=https://minedex.dmirs.wa.gov.au/Web/sites/details/67a0a806-a813-494d-a5c9-4e09fa8a709d target="_blank"&gt;View Source&lt;/a&gt;</v>
      </c>
      <c r="BF11" t="str">
        <f t="shared" si="3"/>
        <v>&lt;a href=https://sunmirror.net/pdfs/23_Nov-Al_Maynard-Cape_Lambert_Royalty.pdf target="_blank"&gt;View Source&lt;/a&gt;</v>
      </c>
    </row>
    <row r="12" spans="1:58" x14ac:dyDescent="0.25">
      <c r="A12" s="6" t="s">
        <v>325</v>
      </c>
      <c r="B12" t="s">
        <v>75</v>
      </c>
      <c r="C12" s="5" t="s">
        <v>326</v>
      </c>
      <c r="D12" t="s">
        <v>691</v>
      </c>
      <c r="E12" s="88">
        <v>-29.218820000000001</v>
      </c>
      <c r="F12" s="88">
        <v>120.413937</v>
      </c>
      <c r="G12" s="2" t="s">
        <v>49</v>
      </c>
      <c r="H12" s="4" t="s">
        <v>67</v>
      </c>
      <c r="I12" s="78">
        <f t="shared" si="4"/>
        <v>1846</v>
      </c>
      <c r="J12" s="78">
        <v>1062</v>
      </c>
      <c r="K12" s="78">
        <v>784</v>
      </c>
      <c r="L12" s="78"/>
      <c r="M12" s="78"/>
      <c r="N12" s="78"/>
      <c r="O12" s="78"/>
      <c r="P12" t="s">
        <v>156</v>
      </c>
      <c r="Q12" s="5" t="s">
        <v>192</v>
      </c>
      <c r="R12" s="5" t="s">
        <v>193</v>
      </c>
      <c r="S12">
        <v>29.48</v>
      </c>
      <c r="T12">
        <v>49.22</v>
      </c>
      <c r="U12">
        <v>2.06</v>
      </c>
      <c r="V12">
        <v>7.0000000000000007E-2</v>
      </c>
      <c r="W12">
        <v>0.3</v>
      </c>
      <c r="X12">
        <v>-0.57999999999999996</v>
      </c>
      <c r="Y12">
        <v>10</v>
      </c>
      <c r="Z12">
        <v>66.739999999999995</v>
      </c>
      <c r="AA12">
        <v>6.83</v>
      </c>
      <c r="AB12">
        <v>0.05</v>
      </c>
      <c r="AC12">
        <v>0.01</v>
      </c>
      <c r="AD12">
        <v>0.31</v>
      </c>
      <c r="AE12">
        <v>10</v>
      </c>
      <c r="AF12" s="83">
        <f t="shared" si="6"/>
        <v>6.88</v>
      </c>
      <c r="AG12">
        <v>10</v>
      </c>
      <c r="AI12">
        <v>36.68</v>
      </c>
      <c r="AJ12" s="5" t="s">
        <v>192</v>
      </c>
      <c r="AK12" t="s">
        <v>149</v>
      </c>
      <c r="AL12" s="5" t="s">
        <v>325</v>
      </c>
      <c r="AM12" t="s">
        <v>556</v>
      </c>
      <c r="AV12" s="5" t="s">
        <v>194</v>
      </c>
      <c r="AX12" s="90" t="s">
        <v>1214</v>
      </c>
      <c r="AY12" s="90"/>
      <c r="AZ12" s="90" t="s">
        <v>1214</v>
      </c>
      <c r="BA12" s="90"/>
      <c r="BB12" s="91" t="s">
        <v>1221</v>
      </c>
      <c r="BC12" s="91"/>
      <c r="BD12" t="str">
        <f t="shared" si="2"/>
        <v>&lt;a href=https://announcements.asx.com.au/asxpdf/20210923/pdf/450sc8lyh8ycd5.pdf target="_blank"&gt;View Source&lt;/a&gt;</v>
      </c>
      <c r="BE12" t="str">
        <f t="shared" si="5"/>
        <v>&lt;a href=https://minedex.dmirs.wa.gov.au/Web/projects/details/378a4b19-2ad7-4953-8503-4d35b3e436da target="_blank"&gt;View Source&lt;/a&gt;</v>
      </c>
      <c r="BF12" t="str">
        <f t="shared" si="3"/>
        <v>&lt;a href=https://announcements.asx.com.au/asxpdf/20210923/pdf/450sc8lyh8ycd5.pdf target="_blank"&gt;View Source&lt;/a&gt;</v>
      </c>
    </row>
    <row r="13" spans="1:58" x14ac:dyDescent="0.25">
      <c r="A13" s="6" t="s">
        <v>319</v>
      </c>
      <c r="B13" s="84" t="s">
        <v>14</v>
      </c>
      <c r="C13" s="5" t="s">
        <v>320</v>
      </c>
      <c r="D13" t="s">
        <v>120</v>
      </c>
      <c r="E13" s="88">
        <v>-29.16019</v>
      </c>
      <c r="F13" s="88">
        <v>116.8005</v>
      </c>
      <c r="G13" s="2" t="s">
        <v>49</v>
      </c>
      <c r="H13" s="4" t="s">
        <v>21</v>
      </c>
      <c r="I13" s="78">
        <f t="shared" si="4"/>
        <v>1767</v>
      </c>
      <c r="J13" s="78">
        <v>1450</v>
      </c>
      <c r="K13" s="78">
        <v>317</v>
      </c>
      <c r="L13" s="78"/>
      <c r="M13" s="78">
        <f>N13+O13</f>
        <v>950.8</v>
      </c>
      <c r="N13" s="78"/>
      <c r="O13" s="78">
        <v>950.8</v>
      </c>
      <c r="P13" t="s">
        <v>166</v>
      </c>
      <c r="Q13" s="5" t="s">
        <v>243</v>
      </c>
      <c r="R13" s="5" t="s">
        <v>245</v>
      </c>
      <c r="S13">
        <v>36</v>
      </c>
      <c r="T13">
        <v>42.9</v>
      </c>
      <c r="U13">
        <v>1</v>
      </c>
      <c r="V13">
        <v>0.09</v>
      </c>
      <c r="W13">
        <v>0.12</v>
      </c>
      <c r="X13">
        <v>-0.7</v>
      </c>
      <c r="Y13">
        <v>20</v>
      </c>
      <c r="Z13">
        <v>65.5</v>
      </c>
      <c r="AA13">
        <v>8</v>
      </c>
      <c r="AB13">
        <v>0.1</v>
      </c>
      <c r="AC13">
        <v>0.03</v>
      </c>
      <c r="AD13">
        <v>7.0000000000000007E-2</v>
      </c>
      <c r="AF13" s="83">
        <f t="shared" si="6"/>
        <v>8.1</v>
      </c>
      <c r="AH13">
        <v>75</v>
      </c>
      <c r="AJ13" s="5" t="s">
        <v>1174</v>
      </c>
      <c r="AK13" t="s">
        <v>21</v>
      </c>
      <c r="AW13" t="s">
        <v>1199</v>
      </c>
      <c r="AX13" s="90" t="s">
        <v>1214</v>
      </c>
      <c r="AY13" s="90"/>
      <c r="AZ13" s="90" t="s">
        <v>1214</v>
      </c>
      <c r="BA13" s="90"/>
      <c r="BB13" s="91" t="s">
        <v>1222</v>
      </c>
      <c r="BC13" s="91"/>
      <c r="BD13" t="str">
        <f t="shared" si="2"/>
        <v>&lt;a href=https://announcements.asx.com.au/asxpdf/20131011/pdf/42jzhm5mf7qssv.pdf target="_blank"&gt;View Source&lt;/a&gt;</v>
      </c>
      <c r="BE13" t="str">
        <f t="shared" si="5"/>
        <v>&lt;a href=https://minedex.dmirs.wa.gov.au/Web/projects/details/5041f035-f389-4298-8466-142fb1bee1b9 target="_blank"&gt;View Source&lt;/a&gt;</v>
      </c>
      <c r="BF13" t="str">
        <f t="shared" si="3"/>
        <v>&lt;a href=https://www.kararamining.com.au/high-grade-fe-magnetite/target="_blank"&gt;View Source&lt;/a&gt;</v>
      </c>
    </row>
    <row r="14" spans="1:58" x14ac:dyDescent="0.25">
      <c r="A14" s="6" t="s">
        <v>310</v>
      </c>
      <c r="B14" t="s">
        <v>522</v>
      </c>
      <c r="C14" s="5" t="s">
        <v>827</v>
      </c>
      <c r="D14" t="s">
        <v>1200</v>
      </c>
      <c r="E14" s="88">
        <v>-29.577200000000001</v>
      </c>
      <c r="F14" s="88">
        <v>117.1614</v>
      </c>
      <c r="G14" s="2" t="s">
        <v>49</v>
      </c>
      <c r="H14" s="4" t="s">
        <v>21</v>
      </c>
      <c r="I14" s="78">
        <f t="shared" si="4"/>
        <v>1699</v>
      </c>
      <c r="J14" s="78">
        <f>422+19</f>
        <v>441</v>
      </c>
      <c r="K14" s="78">
        <v>960</v>
      </c>
      <c r="L14" s="78">
        <v>298</v>
      </c>
      <c r="M14" s="78"/>
      <c r="N14" s="78"/>
      <c r="O14" s="78"/>
      <c r="Q14" s="5" t="s">
        <v>178</v>
      </c>
      <c r="R14" s="5" t="s">
        <v>190</v>
      </c>
      <c r="Y14">
        <v>0</v>
      </c>
      <c r="Z14">
        <v>64.400000000000006</v>
      </c>
      <c r="AA14">
        <v>7.9</v>
      </c>
      <c r="AB14">
        <v>0.43</v>
      </c>
      <c r="AC14">
        <v>0.02</v>
      </c>
      <c r="AD14">
        <v>0.68700000000000006</v>
      </c>
      <c r="AE14">
        <v>-2.2000000000000002</v>
      </c>
      <c r="AF14" s="83">
        <f t="shared" ref="AF14:AF20" si="7">AA14+AB14</f>
        <v>8.33</v>
      </c>
      <c r="AI14">
        <v>35.1</v>
      </c>
      <c r="AJ14" s="5" t="s">
        <v>178</v>
      </c>
      <c r="AK14" t="s">
        <v>21</v>
      </c>
      <c r="AL14" s="5" t="s">
        <v>565</v>
      </c>
      <c r="AN14" s="5">
        <v>2006</v>
      </c>
      <c r="AO14">
        <v>715</v>
      </c>
      <c r="AR14">
        <v>28</v>
      </c>
      <c r="AT14">
        <v>5</v>
      </c>
      <c r="AV14" s="5" t="s">
        <v>523</v>
      </c>
      <c r="AW14" t="s">
        <v>828</v>
      </c>
      <c r="AX14" s="90" t="s">
        <v>1214</v>
      </c>
      <c r="AY14" s="90"/>
      <c r="AZ14" s="90" t="s">
        <v>1214</v>
      </c>
      <c r="BA14" s="90"/>
      <c r="BB14" s="91" t="s">
        <v>1223</v>
      </c>
      <c r="BC14" s="91"/>
      <c r="BD14" t="str">
        <f t="shared" si="2"/>
        <v>&lt;a href=https://geodocs.dmirs.wa.gov.au/Web/documentlist/10/Report_Ref/A95459 target="_blank"&gt;View Source&lt;/a&gt;</v>
      </c>
      <c r="BE14" t="str">
        <f t="shared" si="5"/>
        <v>&lt;a href=https://minedex.dmirs.wa.gov.au/Web/sites/details/459787ec-01f8-49b0-b542-db4c4d3cff66 target="_blank"&gt;View Source&lt;/a&gt;</v>
      </c>
      <c r="BF14" t="str">
        <f t="shared" si="3"/>
        <v>&lt;a href=https://geodocs.dmirs.wa.gov.au/Web/documentlist/10/Report_Ref/A95459 target="_blank"&gt;View Source&lt;/a&gt;</v>
      </c>
    </row>
    <row r="15" spans="1:58" x14ac:dyDescent="0.25">
      <c r="A15" s="6" t="s">
        <v>302</v>
      </c>
      <c r="B15" t="s">
        <v>43</v>
      </c>
      <c r="C15" s="5" t="s">
        <v>302</v>
      </c>
      <c r="D15" t="s">
        <v>583</v>
      </c>
      <c r="E15" s="88">
        <v>-21.150908999999999</v>
      </c>
      <c r="F15" s="88">
        <v>116.11145500000001</v>
      </c>
      <c r="G15" s="2" t="s">
        <v>49</v>
      </c>
      <c r="H15" s="4" t="s">
        <v>67</v>
      </c>
      <c r="I15" s="78">
        <f t="shared" si="4"/>
        <v>1605</v>
      </c>
      <c r="J15" s="78">
        <v>1055</v>
      </c>
      <c r="K15" s="78">
        <v>550</v>
      </c>
      <c r="L15" s="78"/>
      <c r="M15" s="78">
        <f>N15+O15</f>
        <v>859</v>
      </c>
      <c r="N15" s="78"/>
      <c r="O15" s="78">
        <v>859</v>
      </c>
      <c r="P15" t="s">
        <v>156</v>
      </c>
      <c r="Q15" s="5" t="s">
        <v>167</v>
      </c>
      <c r="R15" s="5" t="s">
        <v>301</v>
      </c>
      <c r="S15">
        <v>31.2</v>
      </c>
      <c r="Y15">
        <v>15</v>
      </c>
      <c r="Z15">
        <v>69</v>
      </c>
      <c r="AA15">
        <v>3.9</v>
      </c>
      <c r="AB15">
        <v>0.1</v>
      </c>
      <c r="AC15">
        <v>0.02</v>
      </c>
      <c r="AF15" s="83">
        <f t="shared" si="7"/>
        <v>4</v>
      </c>
      <c r="AH15">
        <v>32</v>
      </c>
      <c r="AI15">
        <v>32.700000000000003</v>
      </c>
      <c r="AJ15" s="5" t="s">
        <v>167</v>
      </c>
      <c r="AK15" t="s">
        <v>541</v>
      </c>
      <c r="AL15" s="5" t="s">
        <v>584</v>
      </c>
      <c r="AN15" s="5">
        <v>2012</v>
      </c>
      <c r="AV15" s="5" t="s">
        <v>585</v>
      </c>
      <c r="AW15" t="s">
        <v>769</v>
      </c>
      <c r="AX15" s="90" t="s">
        <v>1214</v>
      </c>
      <c r="AY15" s="90"/>
      <c r="AZ15" s="90" t="s">
        <v>1214</v>
      </c>
      <c r="BA15" s="90"/>
      <c r="BB15" s="91" t="s">
        <v>1224</v>
      </c>
      <c r="BC15" s="91"/>
      <c r="BD15" t="str">
        <f t="shared" si="2"/>
        <v>&lt;a href=https://announcements.asx.com.au/asxpdf/20150219/pdf/42wqg926pgxhhf.pdf target="_blank"&gt;View Source&lt;/a&gt;</v>
      </c>
      <c r="BE15" t="str">
        <f t="shared" si="5"/>
        <v>&lt;a href=https://minedex.dmirs.wa.gov.au/Web/sites/details/bfa106c1-c86b-4c33-95e5-552b71223d0f target="_blank"&gt;View Source&lt;/a&gt;</v>
      </c>
      <c r="BF15" t="str">
        <f t="shared" si="3"/>
        <v>&lt;a href=https://announcements.asx.com.au/asxpdf/20150219/pdf/42wqg926pgxhhf.pdf target="_blank"&gt;View Source&lt;/a&gt;</v>
      </c>
    </row>
    <row r="16" spans="1:58" x14ac:dyDescent="0.25">
      <c r="A16" s="6" t="s">
        <v>315</v>
      </c>
      <c r="B16" s="84" t="s">
        <v>153</v>
      </c>
      <c r="C16" s="5" t="s">
        <v>313</v>
      </c>
      <c r="D16" t="s">
        <v>44</v>
      </c>
      <c r="E16" s="88">
        <v>-32.452100000000002</v>
      </c>
      <c r="F16" s="88">
        <v>140.8904</v>
      </c>
      <c r="G16" s="2" t="s">
        <v>45</v>
      </c>
      <c r="H16" s="4" t="s">
        <v>67</v>
      </c>
      <c r="I16" s="78">
        <f t="shared" si="4"/>
        <v>1550</v>
      </c>
      <c r="J16" s="78"/>
      <c r="K16" s="78">
        <v>1550</v>
      </c>
      <c r="L16" s="78"/>
      <c r="M16" s="78"/>
      <c r="N16" s="78"/>
      <c r="O16" s="78"/>
      <c r="P16" t="s">
        <v>156</v>
      </c>
      <c r="Q16" s="5" t="s">
        <v>317</v>
      </c>
      <c r="R16" s="5" t="s">
        <v>659</v>
      </c>
      <c r="S16">
        <v>18.7</v>
      </c>
      <c r="T16">
        <v>49.6</v>
      </c>
      <c r="U16">
        <v>8.8000000000000007</v>
      </c>
      <c r="V16">
        <v>0.2</v>
      </c>
      <c r="X16">
        <v>2.8</v>
      </c>
      <c r="Y16">
        <v>10</v>
      </c>
      <c r="Z16">
        <v>69.8</v>
      </c>
      <c r="AA16">
        <v>2.8</v>
      </c>
      <c r="AB16">
        <v>0.4</v>
      </c>
      <c r="AC16">
        <v>2E-3</v>
      </c>
      <c r="AD16">
        <v>2E-3</v>
      </c>
      <c r="AE16">
        <v>-3.3</v>
      </c>
      <c r="AF16" s="83">
        <f t="shared" si="7"/>
        <v>3.1999999999999997</v>
      </c>
      <c r="AG16">
        <v>10</v>
      </c>
      <c r="AI16">
        <v>15.2</v>
      </c>
      <c r="AJ16" s="5" t="s">
        <v>647</v>
      </c>
      <c r="AK16" t="s">
        <v>148</v>
      </c>
      <c r="AL16" s="5" t="s">
        <v>545</v>
      </c>
      <c r="AM16" t="s">
        <v>770</v>
      </c>
      <c r="AX16" s="90" t="s">
        <v>1214</v>
      </c>
      <c r="AY16" s="90"/>
      <c r="AZ16" s="90" t="s">
        <v>1214</v>
      </c>
      <c r="BA16" s="90"/>
      <c r="BB16" s="91"/>
      <c r="BC16" s="91" t="s">
        <v>659</v>
      </c>
      <c r="BD16" t="str">
        <f t="shared" si="2"/>
        <v>&lt;a href=https://company-announcements.afr.com/asx/mgt/388fcf20-5548-11f0-ab50-fa3dfe1111bc.pdf target="_blank"&gt;View Source&lt;/a&gt;</v>
      </c>
      <c r="BE16" t="str">
        <f t="shared" si="5"/>
        <v>&lt;a href=https://minerals.sarig.sa.gov.au/MineralDepositDetails.aspx?DEPOSIT_NO=8361&amp;ref=1target="_blank"&gt;View Source&lt;/a&gt;</v>
      </c>
      <c r="BF16" t="str">
        <f t="shared" si="3"/>
        <v>&lt;a href=https://cdn-api.markitdigital.com/apiman-gateway/ASX/asx-research/1.0/file/2924-02348361-6A1022608&amp;v=4a466cc3f899e00730cfbfcd5ab8940c41f474b6 target="_blank"&gt;View Source&lt;/a&gt;</v>
      </c>
    </row>
    <row r="17" spans="1:58" x14ac:dyDescent="0.25">
      <c r="A17" s="6" t="s">
        <v>366</v>
      </c>
      <c r="B17" s="84" t="s">
        <v>15</v>
      </c>
      <c r="C17" s="6" t="s">
        <v>366</v>
      </c>
      <c r="D17" t="s">
        <v>40</v>
      </c>
      <c r="E17" s="88">
        <v>-32.997999999999998</v>
      </c>
      <c r="F17" s="88">
        <v>137.15600000000001</v>
      </c>
      <c r="G17" s="2" t="s">
        <v>45</v>
      </c>
      <c r="H17" s="4" t="s">
        <v>21</v>
      </c>
      <c r="I17" s="78">
        <f t="shared" si="4"/>
        <v>1541</v>
      </c>
      <c r="J17" s="78"/>
      <c r="K17" s="78">
        <v>1541</v>
      </c>
      <c r="L17" s="78"/>
      <c r="M17" s="78"/>
      <c r="N17" s="78"/>
      <c r="O17" s="78"/>
      <c r="Q17" s="5" t="s">
        <v>269</v>
      </c>
      <c r="R17" s="5" t="s">
        <v>660</v>
      </c>
      <c r="S17">
        <v>30.4</v>
      </c>
      <c r="T17">
        <v>48.8</v>
      </c>
      <c r="Z17">
        <v>65.400000000000006</v>
      </c>
      <c r="AA17">
        <v>8.1</v>
      </c>
      <c r="AB17">
        <v>0.09</v>
      </c>
      <c r="AD17">
        <v>0.19</v>
      </c>
      <c r="AF17" s="83">
        <f t="shared" si="7"/>
        <v>8.19</v>
      </c>
      <c r="AH17">
        <v>38</v>
      </c>
      <c r="AI17">
        <v>34.299999999999997</v>
      </c>
      <c r="AJ17" s="5" t="s">
        <v>269</v>
      </c>
      <c r="AK17" t="s">
        <v>541</v>
      </c>
      <c r="AL17" s="5" t="s">
        <v>529</v>
      </c>
      <c r="AM17" t="s">
        <v>645</v>
      </c>
      <c r="AW17" t="s">
        <v>646</v>
      </c>
      <c r="AX17" s="90" t="s">
        <v>1214</v>
      </c>
      <c r="AY17" s="90"/>
      <c r="AZ17" s="90" t="s">
        <v>1214</v>
      </c>
      <c r="BA17" s="90"/>
      <c r="BB17" s="91"/>
      <c r="BC17" s="91" t="s">
        <v>660</v>
      </c>
      <c r="BD17" t="str">
        <f t="shared" si="2"/>
        <v>&lt;a href=https://www.energymining.sa.gov.au/industry/geological-survey/gssa-projects/magnetite-south-australia target="_blank"&gt;View Source&lt;/a&gt;</v>
      </c>
      <c r="BE17" t="str">
        <f t="shared" si="5"/>
        <v>&lt;a href=https://minerals.sarig.sa.gov.au/MineralDepositDetails.aspx?DEPOSIT_NO=7248&amp;ref=1target="_blank"&gt;View Source&lt;/a&gt;</v>
      </c>
      <c r="BF17" t="str">
        <f t="shared" si="3"/>
        <v>&lt;a href=https://www.energymining.sa.gov.au/industry/geological-survey/gssa-projects/magnetite-south-australia target="_blank"&gt;View Source&lt;/a&gt;</v>
      </c>
    </row>
    <row r="18" spans="1:58" x14ac:dyDescent="0.25">
      <c r="A18" s="6" t="s">
        <v>478</v>
      </c>
      <c r="B18" s="84" t="s">
        <v>73</v>
      </c>
      <c r="C18" s="5" t="s">
        <v>455</v>
      </c>
      <c r="D18" t="s">
        <v>768</v>
      </c>
      <c r="E18" s="88">
        <v>-29.068850000000001</v>
      </c>
      <c r="F18" s="88">
        <v>120.32723</v>
      </c>
      <c r="G18" s="2" t="s">
        <v>49</v>
      </c>
      <c r="H18" s="4" t="s">
        <v>67</v>
      </c>
      <c r="I18" s="78">
        <f t="shared" si="4"/>
        <v>1291</v>
      </c>
      <c r="J18" s="78">
        <v>380</v>
      </c>
      <c r="K18" s="78">
        <v>911</v>
      </c>
      <c r="L18" s="78"/>
      <c r="M18" s="78"/>
      <c r="N18" s="78"/>
      <c r="O18" s="78"/>
      <c r="P18" t="s">
        <v>156</v>
      </c>
      <c r="Q18" s="5" t="s">
        <v>186</v>
      </c>
      <c r="R18" s="5" t="s">
        <v>187</v>
      </c>
      <c r="S18">
        <v>33.520000000000003</v>
      </c>
      <c r="T18">
        <v>46.77</v>
      </c>
      <c r="U18">
        <v>1.02</v>
      </c>
      <c r="V18">
        <v>6.3E-2</v>
      </c>
      <c r="W18">
        <v>0.157</v>
      </c>
      <c r="X18">
        <v>-1.01</v>
      </c>
      <c r="Z18">
        <v>67.44</v>
      </c>
      <c r="AA18">
        <v>5.95</v>
      </c>
      <c r="AB18">
        <v>0.03</v>
      </c>
      <c r="AC18">
        <v>1.0999999999999999E-2</v>
      </c>
      <c r="AD18">
        <v>7.8E-2</v>
      </c>
      <c r="AE18">
        <v>-2.99</v>
      </c>
      <c r="AF18" s="83">
        <f t="shared" si="7"/>
        <v>5.98</v>
      </c>
      <c r="AG18">
        <v>15</v>
      </c>
      <c r="AH18">
        <v>45</v>
      </c>
      <c r="AI18">
        <v>43.9</v>
      </c>
      <c r="AJ18" s="5" t="s">
        <v>484</v>
      </c>
      <c r="AK18" t="s">
        <v>541</v>
      </c>
      <c r="AL18" s="5" t="s">
        <v>528</v>
      </c>
      <c r="AM18" s="5"/>
      <c r="AN18" s="5">
        <v>2024</v>
      </c>
      <c r="AO18">
        <v>5031</v>
      </c>
      <c r="AP18">
        <v>363</v>
      </c>
      <c r="AR18">
        <v>98.8</v>
      </c>
      <c r="AT18">
        <v>12</v>
      </c>
      <c r="AX18" s="90" t="s">
        <v>1214</v>
      </c>
      <c r="AY18" s="90"/>
      <c r="AZ18" s="90" t="s">
        <v>1214</v>
      </c>
      <c r="BA18" s="90"/>
      <c r="BB18" s="91" t="s">
        <v>1225</v>
      </c>
      <c r="BC18" s="91"/>
      <c r="BD18" t="str">
        <f t="shared" si="2"/>
        <v>&lt;a href=https://minedocs.com/28/Hawthorn-Resources-Ltd-MRE-07012024.pdftarget="_blank"&gt;View Source&lt;/a&gt;</v>
      </c>
      <c r="BE18" t="str">
        <f t="shared" si="5"/>
        <v>&lt;a href=https://minedex.dmirs.wa.gov.au/Web/projects/details/8492d996-2abf-4c7d-8430-2c7a40973111 target="_blank"&gt;View Source&lt;/a&gt;</v>
      </c>
      <c r="BF18" t="str">
        <f t="shared" si="3"/>
        <v>&lt;a href=https://minedocs.com/28/Hawthorn-Resources-Ltd-MRE-07012024.pdf target="_blank"&gt;View Source&lt;/a&gt;</v>
      </c>
    </row>
    <row r="19" spans="1:58" ht="15" customHeight="1" x14ac:dyDescent="0.25">
      <c r="A19" s="5" t="s">
        <v>692</v>
      </c>
      <c r="B19" s="84" t="s">
        <v>81</v>
      </c>
      <c r="C19" s="5" t="s">
        <v>363</v>
      </c>
      <c r="D19" t="s">
        <v>55</v>
      </c>
      <c r="E19" s="88">
        <v>-30.044236999999999</v>
      </c>
      <c r="F19" s="88">
        <v>120.007453</v>
      </c>
      <c r="G19" s="2" t="s">
        <v>49</v>
      </c>
      <c r="H19" s="4" t="s">
        <v>67</v>
      </c>
      <c r="I19" s="78">
        <f t="shared" si="4"/>
        <v>1269.7</v>
      </c>
      <c r="J19" s="78">
        <v>218.7</v>
      </c>
      <c r="K19" s="78">
        <f>449.1+334+69+130+15</f>
        <v>997.1</v>
      </c>
      <c r="L19" s="78">
        <v>53.9</v>
      </c>
      <c r="M19" s="78">
        <f>N19+O19</f>
        <v>236.6</v>
      </c>
      <c r="N19" s="78">
        <v>51.9</v>
      </c>
      <c r="O19" s="78">
        <v>184.7</v>
      </c>
      <c r="P19" t="s">
        <v>156</v>
      </c>
      <c r="Q19" s="5" t="s">
        <v>590</v>
      </c>
      <c r="R19" s="5" t="s">
        <v>218</v>
      </c>
      <c r="S19">
        <v>28.344553831613766</v>
      </c>
      <c r="T19">
        <v>49.688973773332279</v>
      </c>
      <c r="U19">
        <v>1.3254469559738522</v>
      </c>
      <c r="V19">
        <v>1.0045837599432936E-2</v>
      </c>
      <c r="X19">
        <v>0.87256044734976757</v>
      </c>
      <c r="Y19">
        <v>15</v>
      </c>
      <c r="Z19">
        <v>66.099999999999994</v>
      </c>
      <c r="AA19">
        <v>4.9000000000000004</v>
      </c>
      <c r="AB19">
        <v>0.1</v>
      </c>
      <c r="AC19">
        <v>0.02</v>
      </c>
      <c r="AD19">
        <v>0.6</v>
      </c>
      <c r="AE19">
        <v>-2.7</v>
      </c>
      <c r="AF19" s="83">
        <f t="shared" si="7"/>
        <v>5</v>
      </c>
      <c r="AG19">
        <v>15</v>
      </c>
      <c r="AI19" s="89">
        <v>30.778924155312275</v>
      </c>
      <c r="AJ19" s="5" t="s">
        <v>219</v>
      </c>
      <c r="AK19" t="s">
        <v>524</v>
      </c>
      <c r="AL19" s="5" t="s">
        <v>560</v>
      </c>
      <c r="AM19" s="92" t="s">
        <v>771</v>
      </c>
      <c r="AN19" s="5">
        <v>2022</v>
      </c>
      <c r="AO19">
        <f>862.7+598</f>
        <v>1460.7</v>
      </c>
      <c r="AP19">
        <v>816</v>
      </c>
      <c r="AQ19">
        <v>13</v>
      </c>
      <c r="AR19">
        <v>101.05</v>
      </c>
      <c r="AT19">
        <v>3</v>
      </c>
      <c r="AU19">
        <v>74</v>
      </c>
      <c r="AV19" s="5" t="s">
        <v>219</v>
      </c>
      <c r="AW19" t="s">
        <v>1179</v>
      </c>
      <c r="AX19" s="90" t="s">
        <v>1214</v>
      </c>
      <c r="AY19" s="90"/>
      <c r="AZ19" s="90" t="s">
        <v>1214</v>
      </c>
      <c r="BA19" s="90"/>
      <c r="BB19" s="91" t="s">
        <v>1226</v>
      </c>
      <c r="BC19" s="91"/>
      <c r="BD19" t="str">
        <f t="shared" si="2"/>
        <v>&lt;a href=https://macarthurminerals.com/wp-content/uploads/2022/04/LGIO1-EN-00000-G-R-9006-1.pdf target="_blank"&gt;View Source&lt;/a&gt;</v>
      </c>
      <c r="BE19" t="str">
        <f t="shared" si="5"/>
        <v>&lt;a href=https://minedex.dmirs.wa.gov.au/Web/projects/details/4589687e-adab-4466-a661-bd0a0d0f43df target="_blank"&gt;View Source&lt;/a&gt;</v>
      </c>
      <c r="BF19" t="str">
        <f t="shared" si="3"/>
        <v>&lt;a href=https://announcements.asx.com.au/asxpdf/20220321/pdf/45767f9j59nd4m.pdf target="_blank"&gt;View Source&lt;/a&gt;</v>
      </c>
    </row>
    <row r="20" spans="1:58" x14ac:dyDescent="0.25">
      <c r="A20" s="6" t="s">
        <v>331</v>
      </c>
      <c r="B20" s="84" t="s">
        <v>77</v>
      </c>
      <c r="C20" s="5" t="s">
        <v>686</v>
      </c>
      <c r="D20" t="s">
        <v>113</v>
      </c>
      <c r="E20" s="88">
        <v>-34.536861217199998</v>
      </c>
      <c r="F20" s="88">
        <v>118.5018337433</v>
      </c>
      <c r="G20" s="2" t="s">
        <v>49</v>
      </c>
      <c r="H20" s="4" t="s">
        <v>67</v>
      </c>
      <c r="I20" s="78">
        <f t="shared" si="4"/>
        <v>1257</v>
      </c>
      <c r="J20" s="78">
        <v>100</v>
      </c>
      <c r="K20" s="78">
        <v>734</v>
      </c>
      <c r="L20" s="78">
        <v>423</v>
      </c>
      <c r="M20" s="78">
        <f>N20+O20</f>
        <v>412</v>
      </c>
      <c r="N20" s="78"/>
      <c r="O20" s="78">
        <v>412</v>
      </c>
      <c r="P20" t="s">
        <v>156</v>
      </c>
      <c r="Q20" s="5" t="s">
        <v>147</v>
      </c>
      <c r="R20" s="5" t="s">
        <v>502</v>
      </c>
      <c r="Y20">
        <v>10</v>
      </c>
      <c r="Z20">
        <v>69.400000000000006</v>
      </c>
      <c r="AA20">
        <v>1.4</v>
      </c>
      <c r="AB20">
        <v>1.3</v>
      </c>
      <c r="AC20">
        <v>3.0000000000000001E-3</v>
      </c>
      <c r="AD20">
        <v>0.6</v>
      </c>
      <c r="AE20">
        <v>-2.8</v>
      </c>
      <c r="AF20" s="83">
        <f t="shared" si="7"/>
        <v>2.7</v>
      </c>
      <c r="AG20">
        <v>10</v>
      </c>
      <c r="AH20">
        <v>75</v>
      </c>
      <c r="AI20">
        <v>33.799999999999997</v>
      </c>
      <c r="AJ20" s="5" t="s">
        <v>147</v>
      </c>
      <c r="AK20" t="s">
        <v>541</v>
      </c>
      <c r="AL20" s="5" t="s">
        <v>527</v>
      </c>
      <c r="AM20" s="5"/>
      <c r="AN20" s="5">
        <v>2024</v>
      </c>
      <c r="AO20">
        <v>2340</v>
      </c>
      <c r="AP20">
        <v>877</v>
      </c>
      <c r="AQ20">
        <v>14.8</v>
      </c>
      <c r="AR20">
        <v>87.7</v>
      </c>
      <c r="AS20">
        <v>117.1</v>
      </c>
      <c r="AT20">
        <v>5</v>
      </c>
      <c r="AV20" s="5" t="s">
        <v>285</v>
      </c>
      <c r="AW20" t="s">
        <v>648</v>
      </c>
      <c r="AX20" s="90" t="s">
        <v>1214</v>
      </c>
      <c r="AY20" s="90"/>
      <c r="AZ20" s="90" t="s">
        <v>1214</v>
      </c>
      <c r="BA20" s="90"/>
      <c r="BB20" s="91" t="s">
        <v>1227</v>
      </c>
      <c r="BC20" s="91"/>
      <c r="BD20" t="str">
        <f t="shared" si="2"/>
        <v>&lt;a href=https://grange.blob.core.windows.net/public/4370fe56-65a1-400e-8f72-58ed89e6bb98.pdf target="_blank"&gt;View Source&lt;/a&gt;</v>
      </c>
      <c r="BE20" t="str">
        <f t="shared" si="5"/>
        <v>&lt;a href=https://minedex.dmirs.wa.gov.au/Web/sites/details/4e365f61-c6f6-423a-8b5e-85e10b812902 target="_blank"&gt;View Source&lt;/a&gt;</v>
      </c>
      <c r="BF20" t="str">
        <f t="shared" si="3"/>
        <v>&lt;a href=https://grange.blob.core.windows.net/public/4370fe56-65a1-400e-8f72-58ed89e6bb98.pdf target="_blank"&gt;View Source&lt;/a&gt;</v>
      </c>
    </row>
    <row r="21" spans="1:58" x14ac:dyDescent="0.25">
      <c r="A21" s="5" t="s">
        <v>689</v>
      </c>
      <c r="B21" s="84" t="s">
        <v>72</v>
      </c>
      <c r="C21" s="5" t="s">
        <v>689</v>
      </c>
      <c r="D21" t="s">
        <v>64</v>
      </c>
      <c r="E21" s="88">
        <v>-20.929976</v>
      </c>
      <c r="F21" s="88">
        <v>116.404039</v>
      </c>
      <c r="G21" s="2" t="s">
        <v>49</v>
      </c>
      <c r="H21" s="4" t="s">
        <v>67</v>
      </c>
      <c r="I21" s="78">
        <f t="shared" si="4"/>
        <v>1106</v>
      </c>
      <c r="J21" s="78"/>
      <c r="K21" s="78">
        <v>1106</v>
      </c>
      <c r="L21" s="78"/>
      <c r="M21" s="78"/>
      <c r="N21" s="78"/>
      <c r="O21" s="78"/>
      <c r="P21" t="s">
        <v>166</v>
      </c>
      <c r="Q21" s="5" t="s">
        <v>179</v>
      </c>
      <c r="R21" s="5" t="s">
        <v>188</v>
      </c>
      <c r="S21">
        <v>30.4</v>
      </c>
      <c r="T21">
        <v>44</v>
      </c>
      <c r="U21">
        <v>2.2999999999999998</v>
      </c>
      <c r="V21">
        <v>0.06</v>
      </c>
      <c r="X21">
        <v>1.2</v>
      </c>
      <c r="Y21">
        <v>26</v>
      </c>
      <c r="Z21">
        <v>69</v>
      </c>
      <c r="AF21" s="83"/>
      <c r="AG21">
        <v>26</v>
      </c>
      <c r="AH21">
        <v>24</v>
      </c>
      <c r="AI21">
        <v>32</v>
      </c>
      <c r="AJ21" s="5" t="s">
        <v>179</v>
      </c>
      <c r="AK21" t="s">
        <v>148</v>
      </c>
      <c r="AV21" s="5"/>
      <c r="AX21" s="90" t="s">
        <v>1214</v>
      </c>
      <c r="AY21" s="90"/>
      <c r="AZ21" s="90"/>
      <c r="BA21" s="90" t="s">
        <v>1217</v>
      </c>
      <c r="BB21" s="91" t="s">
        <v>1228</v>
      </c>
      <c r="BC21" s="91"/>
      <c r="BD21" t="str">
        <f t="shared" si="2"/>
        <v>&lt;a href=https://www.aspecthuntley.com.au/asxdata/20120604/pdf/01302731.pdf target="_blank"&gt;View Source&lt;/a&gt;</v>
      </c>
      <c r="BE21" t="str">
        <f t="shared" si="5"/>
        <v>&lt;a href=https://minedex.dmirs.wa.gov.au/Web/projects/details/440df72d-ee0c-4664-9d97-92d34fcec326 target="_blank"&gt;View Source&lt;/a&gt;</v>
      </c>
      <c r="BF21" t="str">
        <f t="shared" si="3"/>
        <v>&lt;a href=https://www.aspecthuntley.com.au/asxdata/20120604/pdf/01302731.pdf target="_blank"&gt;View Source&lt;/a&gt;</v>
      </c>
    </row>
    <row r="22" spans="1:58" x14ac:dyDescent="0.25">
      <c r="A22" s="6" t="s">
        <v>339</v>
      </c>
      <c r="B22" s="84" t="s">
        <v>409</v>
      </c>
      <c r="C22" s="5" t="s">
        <v>338</v>
      </c>
      <c r="D22" t="s">
        <v>337</v>
      </c>
      <c r="E22" s="88">
        <v>-32.193662000000003</v>
      </c>
      <c r="F22" s="88">
        <v>140.53446</v>
      </c>
      <c r="G22" s="2" t="s">
        <v>45</v>
      </c>
      <c r="H22" s="4" t="s">
        <v>67</v>
      </c>
      <c r="I22" s="78">
        <f t="shared" si="4"/>
        <v>1062.7</v>
      </c>
      <c r="J22" s="78">
        <f>214+114.8</f>
        <v>328.8</v>
      </c>
      <c r="K22" s="78">
        <f>70.7+206.3+160.9+296</f>
        <v>733.9</v>
      </c>
      <c r="L22" s="78"/>
      <c r="M22" s="78"/>
      <c r="N22" s="78"/>
      <c r="O22" s="78"/>
      <c r="P22" t="s">
        <v>156</v>
      </c>
      <c r="Q22" s="5" t="s">
        <v>207</v>
      </c>
      <c r="R22" s="5" t="s">
        <v>661</v>
      </c>
      <c r="Z22" s="89">
        <v>69.580552121961276</v>
      </c>
      <c r="AA22" s="89">
        <v>2.82032550473836</v>
      </c>
      <c r="AB22" s="89">
        <v>0.25234445817882162</v>
      </c>
      <c r="AC22" s="89">
        <v>7.9950556242274415E-3</v>
      </c>
      <c r="AD22" s="89">
        <v>1.007416563658838E-2</v>
      </c>
      <c r="AE22" s="89">
        <v>-3.1</v>
      </c>
      <c r="AF22" s="83">
        <f>AA22+AB22</f>
        <v>3.0726699629171814</v>
      </c>
      <c r="AG22" s="78">
        <v>10</v>
      </c>
      <c r="AH22" s="89">
        <v>38</v>
      </c>
      <c r="AI22">
        <v>22.77</v>
      </c>
      <c r="AJ22" s="5" t="s">
        <v>482</v>
      </c>
      <c r="AK22" t="s">
        <v>149</v>
      </c>
      <c r="AL22" s="5" t="s">
        <v>543</v>
      </c>
      <c r="AU22">
        <f>10.2+36.7+57.6+138</f>
        <v>242.5</v>
      </c>
      <c r="AV22" s="5" t="s">
        <v>155</v>
      </c>
      <c r="AW22" t="s">
        <v>410</v>
      </c>
      <c r="AX22" s="90" t="s">
        <v>1214</v>
      </c>
      <c r="AY22" s="90"/>
      <c r="AZ22" s="90" t="s">
        <v>1214</v>
      </c>
      <c r="BA22" s="90"/>
      <c r="BB22" s="91"/>
      <c r="BC22" s="91" t="s">
        <v>661</v>
      </c>
      <c r="BD22" t="str">
        <f t="shared" si="2"/>
        <v>&lt;a href=https://www.lodestonemines.com/_files/ugd/22b2ca_5c2031f2e1204b5e8a6b05855fe3e0c9.pdftarget="_blank"&gt;View Source&lt;/a&gt;</v>
      </c>
      <c r="BE22" t="str">
        <f t="shared" si="5"/>
        <v>&lt;a href=https://minerals.sarig.sa.gov.au/MineralDepositDetails.aspx?DEPOSIT_NO=9465&amp;ref=1target="_blank"&gt;View Source&lt;/a&gt;</v>
      </c>
      <c r="BF22" t="str">
        <f t="shared" si="3"/>
        <v>&lt;a href=https://www.lodestonemines.com/_files/ugd/22b2ca_5c2031f2e1204b5e8a6b05855fe3e0c9.pdf target="_blank"&gt;View Source&lt;/a&gt;</v>
      </c>
    </row>
    <row r="23" spans="1:58" x14ac:dyDescent="0.25">
      <c r="A23" s="6" t="s">
        <v>344</v>
      </c>
      <c r="B23" t="s">
        <v>85</v>
      </c>
      <c r="C23" s="5" t="s">
        <v>683</v>
      </c>
      <c r="D23" t="s">
        <v>51</v>
      </c>
      <c r="E23" s="88">
        <v>-25.540747</v>
      </c>
      <c r="F23" s="88">
        <v>118.52033900000001</v>
      </c>
      <c r="G23" s="2" t="s">
        <v>49</v>
      </c>
      <c r="H23" s="4" t="s">
        <v>67</v>
      </c>
      <c r="I23" s="78">
        <f t="shared" si="4"/>
        <v>954</v>
      </c>
      <c r="J23" s="78">
        <v>192</v>
      </c>
      <c r="K23" s="78">
        <v>762</v>
      </c>
      <c r="L23" s="78"/>
      <c r="M23" s="78"/>
      <c r="N23" s="78"/>
      <c r="O23" s="78"/>
      <c r="P23" t="s">
        <v>156</v>
      </c>
      <c r="Q23" s="5" t="s">
        <v>201</v>
      </c>
      <c r="R23" s="5" t="s">
        <v>200</v>
      </c>
      <c r="S23">
        <v>27.5</v>
      </c>
      <c r="T23">
        <v>46.3</v>
      </c>
      <c r="U23">
        <v>3.7</v>
      </c>
      <c r="V23">
        <v>0.245</v>
      </c>
      <c r="W23">
        <v>0.04</v>
      </c>
      <c r="X23">
        <v>5.03</v>
      </c>
      <c r="Y23">
        <v>15</v>
      </c>
      <c r="Z23">
        <v>64.599999999999994</v>
      </c>
      <c r="AA23">
        <v>8.4</v>
      </c>
      <c r="AB23">
        <v>0.3</v>
      </c>
      <c r="AC23">
        <v>4.4999999999999998E-2</v>
      </c>
      <c r="AD23">
        <v>0.03</v>
      </c>
      <c r="AF23" s="83">
        <f>AA23+AB23</f>
        <v>8.7000000000000011</v>
      </c>
      <c r="AG23">
        <v>15</v>
      </c>
      <c r="AH23">
        <v>38</v>
      </c>
      <c r="AI23">
        <v>22.5</v>
      </c>
      <c r="AJ23" s="5" t="s">
        <v>395</v>
      </c>
      <c r="AK23" t="s">
        <v>149</v>
      </c>
      <c r="AL23" s="5" t="s">
        <v>344</v>
      </c>
      <c r="AM23" t="s">
        <v>554</v>
      </c>
      <c r="AV23" s="5"/>
      <c r="AX23" s="90" t="s">
        <v>1214</v>
      </c>
      <c r="AY23" s="90"/>
      <c r="AZ23" s="90" t="s">
        <v>1214</v>
      </c>
      <c r="BA23" s="90"/>
      <c r="BB23" s="91" t="s">
        <v>1229</v>
      </c>
      <c r="BC23" s="91"/>
      <c r="BD23" t="str">
        <f t="shared" si="2"/>
        <v>&lt;a href=https://aust-sino.com/files/files/987_220._Telecom_Hill_Mineral_Resource_Estimate_Update_-_04Apr2022.pdf target="_blank"&gt;View Source&lt;/a&gt;</v>
      </c>
      <c r="BE23" t="str">
        <f t="shared" si="5"/>
        <v>&lt;a href=https://minedex.dmirs.wa.gov.au/Web/projects/details/27236849-4c89-40ea-b8c2-c29220fcae3a target="_blank"&gt;View Source&lt;/a&gt;</v>
      </c>
      <c r="BF23" t="str">
        <f t="shared" si="3"/>
        <v>&lt;a href=https://announcements.asx.com.au/asxpdf/20171220/pdf/43qbd05dkr2qnq.pdf target="_blank"&gt;View Source&lt;/a&gt;</v>
      </c>
    </row>
    <row r="24" spans="1:58" x14ac:dyDescent="0.25">
      <c r="A24" s="5" t="s">
        <v>684</v>
      </c>
      <c r="B24" s="84" t="s">
        <v>170</v>
      </c>
      <c r="C24" s="5" t="s">
        <v>684</v>
      </c>
      <c r="D24" s="82" t="s">
        <v>169</v>
      </c>
      <c r="E24" s="88">
        <v>-21.014544000000001</v>
      </c>
      <c r="F24" s="88">
        <v>116.152123</v>
      </c>
      <c r="G24" s="2" t="s">
        <v>49</v>
      </c>
      <c r="H24" s="4" t="s">
        <v>67</v>
      </c>
      <c r="I24" s="78">
        <f t="shared" si="4"/>
        <v>914</v>
      </c>
      <c r="J24" s="78"/>
      <c r="K24" s="78">
        <v>914</v>
      </c>
      <c r="L24" s="78"/>
      <c r="M24" s="78"/>
      <c r="N24" s="78"/>
      <c r="O24" s="78"/>
      <c r="P24" s="5"/>
      <c r="Q24" s="5" t="s">
        <v>168</v>
      </c>
      <c r="R24" s="5" t="s">
        <v>168</v>
      </c>
      <c r="S24">
        <v>21.4</v>
      </c>
      <c r="AF24" s="83"/>
      <c r="AK24" t="s">
        <v>148</v>
      </c>
      <c r="AV24" s="5" t="s">
        <v>336</v>
      </c>
      <c r="AX24" s="90"/>
      <c r="AY24" s="90" t="s">
        <v>1230</v>
      </c>
      <c r="AZ24" s="90"/>
      <c r="BA24" s="90" t="s">
        <v>1217</v>
      </c>
      <c r="BB24" s="91" t="s">
        <v>1231</v>
      </c>
      <c r="BC24" s="91"/>
      <c r="BD24" t="str">
        <f t="shared" si="2"/>
        <v>&lt;a href=https://minedex.dmirs.wa.gov.au/Web/sites/details/073a114a-f223-4893-9aec-a7b15c1cef7c target="_blank"&gt;View Source&lt;/a&gt;</v>
      </c>
      <c r="BE24" t="str">
        <f t="shared" si="5"/>
        <v>&lt;a href=https://minedex.dmirs.wa.gov.au/Web/sites/details/073a114a-f223-4893-9aec-a7b15c1cef7c target="_blank"&gt;View Source&lt;/a&gt;</v>
      </c>
    </row>
    <row r="25" spans="1:58" x14ac:dyDescent="0.25">
      <c r="A25" s="6" t="s">
        <v>198</v>
      </c>
      <c r="B25" t="s">
        <v>78</v>
      </c>
      <c r="C25" s="5" t="s">
        <v>333</v>
      </c>
      <c r="D25" t="s">
        <v>63</v>
      </c>
      <c r="E25" s="88">
        <v>-28.794599999999999</v>
      </c>
      <c r="F25" s="88">
        <v>119.6344</v>
      </c>
      <c r="G25" s="2" t="s">
        <v>49</v>
      </c>
      <c r="H25" s="4" t="s">
        <v>67</v>
      </c>
      <c r="I25" s="78">
        <f t="shared" si="4"/>
        <v>822.6</v>
      </c>
      <c r="J25" s="78">
        <v>597.1</v>
      </c>
      <c r="K25" s="78">
        <v>65.099999999999994</v>
      </c>
      <c r="L25" s="78">
        <v>160.4</v>
      </c>
      <c r="M25" s="78"/>
      <c r="N25" s="78"/>
      <c r="O25" s="78"/>
      <c r="P25" t="s">
        <v>156</v>
      </c>
      <c r="Q25" s="5" t="s">
        <v>197</v>
      </c>
      <c r="R25" s="5" t="s">
        <v>195</v>
      </c>
      <c r="S25">
        <v>32.6</v>
      </c>
      <c r="T25">
        <v>49.3</v>
      </c>
      <c r="U25">
        <v>0.5</v>
      </c>
      <c r="Z25" s="5">
        <v>66</v>
      </c>
      <c r="AA25">
        <v>4.5</v>
      </c>
      <c r="AF25" s="83">
        <f>AA25+AB25</f>
        <v>4.5</v>
      </c>
      <c r="AH25">
        <v>38</v>
      </c>
      <c r="AI25">
        <v>40</v>
      </c>
      <c r="AJ25" s="5" t="s">
        <v>489</v>
      </c>
      <c r="AK25" t="s">
        <v>149</v>
      </c>
      <c r="AL25" s="5" t="s">
        <v>333</v>
      </c>
      <c r="AM25" t="s">
        <v>772</v>
      </c>
      <c r="AV25" s="5" t="s">
        <v>198</v>
      </c>
      <c r="AX25" s="90" t="s">
        <v>1214</v>
      </c>
      <c r="AY25" s="90"/>
      <c r="AZ25" s="90" t="s">
        <v>1214</v>
      </c>
      <c r="BA25" s="90"/>
      <c r="BB25" s="91" t="s">
        <v>1232</v>
      </c>
      <c r="BC25" s="91"/>
      <c r="BD25" t="str">
        <f t="shared" si="2"/>
        <v>&lt;a href=https://cashmereiron.com/wp-content/uploads/2022/10/Cashmere_Iron_-_Global_Iron_Conference.pdf target="_blank"&gt;View Source&lt;/a&gt;</v>
      </c>
      <c r="BE25" t="str">
        <f t="shared" si="5"/>
        <v>&lt;a href=https://minedex.dmirs.wa.gov.au/Web/projects/details/79f7c36c-dc97-4c68-b883-f142a6144565 target="_blank"&gt;View Source&lt;/a&gt;</v>
      </c>
      <c r="BF25" t="str">
        <f t="shared" si="3"/>
        <v>&lt;a href=https://cashmereiron.com/project-information/history-of-deposit-exploration/#:~:text=Metallurgical%20studies%20show%20that%20a,within%20the%20Measured%2FIndicated%20categories. target="_blank"&gt;View Source&lt;/a&gt;</v>
      </c>
    </row>
    <row r="26" spans="1:58" x14ac:dyDescent="0.25">
      <c r="A26" s="5" t="s">
        <v>684</v>
      </c>
      <c r="B26" s="84" t="s">
        <v>60</v>
      </c>
      <c r="C26" s="5" t="s">
        <v>684</v>
      </c>
      <c r="D26" t="s">
        <v>773</v>
      </c>
      <c r="E26" s="88">
        <v>-24.931000000000001</v>
      </c>
      <c r="F26" s="88">
        <v>119.6708</v>
      </c>
      <c r="G26" s="2" t="s">
        <v>49</v>
      </c>
      <c r="H26" s="4" t="s">
        <v>67</v>
      </c>
      <c r="I26" s="78">
        <f t="shared" si="4"/>
        <v>714</v>
      </c>
      <c r="J26" s="78"/>
      <c r="K26" s="78">
        <v>714</v>
      </c>
      <c r="L26" s="78"/>
      <c r="M26" s="78"/>
      <c r="N26" s="78"/>
      <c r="O26" s="78"/>
      <c r="P26" t="s">
        <v>156</v>
      </c>
      <c r="Q26" s="5" t="s">
        <v>571</v>
      </c>
      <c r="R26" s="5" t="s">
        <v>196</v>
      </c>
      <c r="S26">
        <v>27.4</v>
      </c>
      <c r="T26">
        <v>49.6</v>
      </c>
      <c r="U26">
        <v>4.18</v>
      </c>
      <c r="V26">
        <v>0.11</v>
      </c>
      <c r="W26">
        <v>0.02</v>
      </c>
      <c r="X26">
        <v>2.68</v>
      </c>
      <c r="Y26">
        <v>0</v>
      </c>
      <c r="Z26" s="5">
        <v>68</v>
      </c>
      <c r="AA26">
        <v>4</v>
      </c>
      <c r="AB26">
        <v>0.6</v>
      </c>
      <c r="AC26">
        <v>5.0000000000000001E-3</v>
      </c>
      <c r="AD26">
        <v>2E-3</v>
      </c>
      <c r="AF26" s="83">
        <f>AA26+AB26</f>
        <v>4.5999999999999996</v>
      </c>
      <c r="AJ26" s="5" t="s">
        <v>492</v>
      </c>
      <c r="AK26" t="s">
        <v>148</v>
      </c>
      <c r="AV26" s="5" t="s">
        <v>332</v>
      </c>
      <c r="AX26" s="90"/>
      <c r="AY26" s="90" t="s">
        <v>1230</v>
      </c>
      <c r="AZ26" s="90"/>
      <c r="BA26" s="90" t="s">
        <v>1217</v>
      </c>
      <c r="BB26" s="91" t="s">
        <v>1233</v>
      </c>
      <c r="BC26" s="91"/>
      <c r="BD26" t="str">
        <f t="shared" si="2"/>
        <v>&lt;a href=https://www.aspecthuntley.com.au/asxdata/20200624/pdf/02247581.pdf target="_blank"&gt;View Source&lt;/a&gt;</v>
      </c>
      <c r="BE26" t="str">
        <f t="shared" si="5"/>
        <v>&lt;a href=https://minedex.dmirs.wa.gov.au/Web/sites/details/da18445a-79a5-48ec-ab75-f904da89ffe2 target="_blank"&gt;View Source&lt;/a&gt;</v>
      </c>
      <c r="BF26" t="str">
        <f t="shared" si="3"/>
        <v>&lt;a href=https://announcements.asx.com.au/asxpdf/20090923/pdf/31kwfdc1y1ffhw.pdf target="_blank"&gt;View Source&lt;/a&gt;</v>
      </c>
    </row>
    <row r="27" spans="1:58" x14ac:dyDescent="0.25">
      <c r="A27" s="5" t="s">
        <v>684</v>
      </c>
      <c r="B27" s="84" t="s">
        <v>87</v>
      </c>
      <c r="C27" s="5" t="s">
        <v>347</v>
      </c>
      <c r="D27" s="82" t="s">
        <v>131</v>
      </c>
      <c r="E27" s="88">
        <v>-28.437200000000001</v>
      </c>
      <c r="F27" s="88">
        <v>116.72929999999999</v>
      </c>
      <c r="G27" s="2" t="s">
        <v>49</v>
      </c>
      <c r="H27" s="4" t="s">
        <v>67</v>
      </c>
      <c r="I27" s="78">
        <f t="shared" si="4"/>
        <v>698</v>
      </c>
      <c r="J27" s="78">
        <v>311</v>
      </c>
      <c r="K27" s="78">
        <v>387</v>
      </c>
      <c r="L27" s="78"/>
      <c r="M27" s="78"/>
      <c r="N27" s="78"/>
      <c r="O27" s="78"/>
      <c r="P27" t="s">
        <v>156</v>
      </c>
      <c r="Q27" s="5" t="s">
        <v>238</v>
      </c>
      <c r="R27" s="5" t="s">
        <v>239</v>
      </c>
      <c r="S27">
        <v>29.3</v>
      </c>
      <c r="T27">
        <v>48.6</v>
      </c>
      <c r="U27">
        <v>2.2000000000000002</v>
      </c>
      <c r="V27">
        <v>0.04</v>
      </c>
      <c r="X27">
        <v>1.6</v>
      </c>
      <c r="Y27">
        <v>20</v>
      </c>
      <c r="AF27" s="83"/>
      <c r="AK27" t="s">
        <v>148</v>
      </c>
      <c r="AV27" s="5"/>
      <c r="AX27" s="90" t="s">
        <v>1214</v>
      </c>
      <c r="AY27" s="90"/>
      <c r="AZ27" s="90"/>
      <c r="BA27" s="90" t="s">
        <v>1217</v>
      </c>
      <c r="BB27" s="91" t="s">
        <v>1234</v>
      </c>
      <c r="BC27" s="91"/>
      <c r="BD27" t="str">
        <f t="shared" si="2"/>
        <v>&lt;a href=https://announcements.asx.com.au/asxpdf/20150216/pdf/42wmnsvt7rkbj6.pdf target="_blank"&gt;View Source&lt;/a&gt;</v>
      </c>
      <c r="BE27" t="str">
        <f t="shared" si="5"/>
        <v>&lt;a href=https://minedex.dmirs.wa.gov.au/Web/sites/group-details/f811400c-a3ab-47b4-89ae-e810ff736134 target="_blank"&gt;View Source&lt;/a&gt;</v>
      </c>
    </row>
    <row r="28" spans="1:58" x14ac:dyDescent="0.25">
      <c r="A28" s="5" t="s">
        <v>684</v>
      </c>
      <c r="B28" s="84" t="s">
        <v>79</v>
      </c>
      <c r="C28" s="5" t="s">
        <v>684</v>
      </c>
      <c r="D28" t="s">
        <v>774</v>
      </c>
      <c r="E28" s="88">
        <v>-30.305616580300001</v>
      </c>
      <c r="F28" s="88">
        <v>134.76111317580001</v>
      </c>
      <c r="G28" s="2" t="s">
        <v>45</v>
      </c>
      <c r="H28" s="4" t="s">
        <v>67</v>
      </c>
      <c r="I28" s="78">
        <f t="shared" si="4"/>
        <v>688.85</v>
      </c>
      <c r="J28" s="78">
        <v>427.61</v>
      </c>
      <c r="K28" s="78">
        <v>261.24</v>
      </c>
      <c r="L28" s="78"/>
      <c r="M28" s="78"/>
      <c r="N28" s="78"/>
      <c r="O28" s="78"/>
      <c r="P28" t="s">
        <v>156</v>
      </c>
      <c r="Q28" s="5" t="s">
        <v>267</v>
      </c>
      <c r="R28" s="5" t="s">
        <v>662</v>
      </c>
      <c r="S28">
        <v>30.91</v>
      </c>
      <c r="T28">
        <v>38.26</v>
      </c>
      <c r="U28">
        <v>2.13</v>
      </c>
      <c r="V28">
        <v>6.5000000000000002E-2</v>
      </c>
      <c r="Y28">
        <v>15</v>
      </c>
      <c r="Z28">
        <v>68</v>
      </c>
      <c r="AA28">
        <v>4.5</v>
      </c>
      <c r="AB28">
        <v>0.16</v>
      </c>
      <c r="AC28">
        <v>7.0000000000000001E-3</v>
      </c>
      <c r="AD28">
        <v>0.02</v>
      </c>
      <c r="AE28">
        <v>-2.8</v>
      </c>
      <c r="AF28" s="83">
        <f>AA28+AB28</f>
        <v>4.66</v>
      </c>
      <c r="AH28">
        <v>25</v>
      </c>
      <c r="AJ28" s="5" t="s">
        <v>268</v>
      </c>
      <c r="AK28" t="s">
        <v>149</v>
      </c>
      <c r="AL28" s="5" t="s">
        <v>550</v>
      </c>
      <c r="AN28" s="5">
        <v>2013</v>
      </c>
      <c r="AO28">
        <v>1733</v>
      </c>
      <c r="AR28">
        <v>71.48</v>
      </c>
      <c r="AT28">
        <v>5</v>
      </c>
      <c r="AV28" s="5" t="s">
        <v>518</v>
      </c>
      <c r="AX28" s="90"/>
      <c r="AY28" s="90" t="s">
        <v>1230</v>
      </c>
      <c r="AZ28" s="90"/>
      <c r="BA28" s="90" t="s">
        <v>1217</v>
      </c>
      <c r="BB28" s="91"/>
      <c r="BC28" s="91" t="s">
        <v>662</v>
      </c>
      <c r="BD28" t="str">
        <f t="shared" si="2"/>
        <v>&lt;a href=https://www.aspecthuntley.com.au/asxdata/20121004/pdf/01340154.pdf target="_blank"&gt;View Source&lt;/a&gt;</v>
      </c>
      <c r="BE28" t="str">
        <f t="shared" si="5"/>
        <v>&lt;a href=https://minerals.sarig.sa.gov.au/MineralDepositDetails.aspx?DEPOSIT_NO=3011&amp;ref=1target="_blank"&gt;View Source&lt;/a&gt;</v>
      </c>
      <c r="BF28" t="str">
        <f t="shared" si="3"/>
        <v>&lt;a href=https://announcements.asx.com.au/asxpdf/20130403/pdf/42f10svxcppwx2.pdf target="_blank"&gt;View Source&lt;/a&gt;</v>
      </c>
    </row>
    <row r="29" spans="1:58" x14ac:dyDescent="0.25">
      <c r="A29" s="6" t="s">
        <v>345</v>
      </c>
      <c r="B29" s="84" t="s">
        <v>82</v>
      </c>
      <c r="C29" s="5" t="s">
        <v>345</v>
      </c>
      <c r="D29" t="s">
        <v>695</v>
      </c>
      <c r="E29" s="88">
        <v>-29.426174</v>
      </c>
      <c r="F29" s="88">
        <v>117.151549</v>
      </c>
      <c r="G29" s="2" t="s">
        <v>49</v>
      </c>
      <c r="H29" s="4" t="s">
        <v>67</v>
      </c>
      <c r="I29" s="78">
        <f t="shared" si="4"/>
        <v>644</v>
      </c>
      <c r="J29" s="78"/>
      <c r="K29" s="78">
        <v>644</v>
      </c>
      <c r="L29" s="78"/>
      <c r="M29" s="78"/>
      <c r="N29" s="78"/>
      <c r="O29" s="78"/>
      <c r="P29" t="s">
        <v>156</v>
      </c>
      <c r="Q29" s="5" t="s">
        <v>208</v>
      </c>
      <c r="R29" s="5" t="s">
        <v>209</v>
      </c>
      <c r="S29">
        <v>30.2</v>
      </c>
      <c r="T29">
        <v>43.8</v>
      </c>
      <c r="U29">
        <v>3.89</v>
      </c>
      <c r="V29">
        <v>0.06</v>
      </c>
      <c r="W29">
        <v>1.28</v>
      </c>
      <c r="X29">
        <v>2.63</v>
      </c>
      <c r="Y29">
        <v>20</v>
      </c>
      <c r="Z29" s="89">
        <v>64.3</v>
      </c>
      <c r="AA29" s="89">
        <v>9.5</v>
      </c>
      <c r="AB29" s="89">
        <v>0.32</v>
      </c>
      <c r="AC29" s="89">
        <v>0.02</v>
      </c>
      <c r="AD29" s="89">
        <v>0.37</v>
      </c>
      <c r="AE29" s="89">
        <v>-2.2000000000000002</v>
      </c>
      <c r="AF29" s="83">
        <f>AA29+AB29</f>
        <v>9.82</v>
      </c>
      <c r="AG29" s="89"/>
      <c r="AH29">
        <v>25</v>
      </c>
      <c r="AI29">
        <v>31.7</v>
      </c>
      <c r="AJ29" s="5" t="s">
        <v>485</v>
      </c>
      <c r="AK29" t="s">
        <v>148</v>
      </c>
      <c r="AU29">
        <v>204</v>
      </c>
      <c r="AV29" s="5"/>
      <c r="AX29" s="90" t="s">
        <v>1214</v>
      </c>
      <c r="AY29" s="90"/>
      <c r="AZ29" s="90" t="s">
        <v>1214</v>
      </c>
      <c r="BA29" s="90"/>
      <c r="BB29" s="91" t="s">
        <v>1235</v>
      </c>
      <c r="BC29" s="91"/>
      <c r="BD29" t="str">
        <f t="shared" si="2"/>
        <v>&lt;a href=https://www.aspecthuntley.com.au/asxdata/20181019/pdf/02036550.pdftarget="_blank"&gt;View Source&lt;/a&gt;</v>
      </c>
      <c r="BE29" t="str">
        <f t="shared" si="5"/>
        <v>&lt;a href=https://minedex.dmirs.wa.gov.au/Web/sites/details/c4f15be1-f515-4a9c-8a08-af901a1f8f20 target="_blank"&gt;View Source&lt;/a&gt;</v>
      </c>
      <c r="BF29" t="str">
        <f t="shared" si="3"/>
        <v>&lt;a href=https://www.aspecthuntley.com.au/asxdata/20181019/pdf/02036550.pdf target="_blank"&gt;View Source&lt;/a&gt;</v>
      </c>
    </row>
    <row r="30" spans="1:58" x14ac:dyDescent="0.25">
      <c r="A30" s="6" t="s">
        <v>1167</v>
      </c>
      <c r="B30" t="s">
        <v>91</v>
      </c>
      <c r="C30" s="5" t="s">
        <v>693</v>
      </c>
      <c r="D30" t="s">
        <v>52</v>
      </c>
      <c r="E30" s="88">
        <v>-30.009419999999999</v>
      </c>
      <c r="F30" s="88">
        <v>135.15004999999999</v>
      </c>
      <c r="G30" s="2" t="s">
        <v>45</v>
      </c>
      <c r="H30" s="4" t="s">
        <v>67</v>
      </c>
      <c r="I30" s="78">
        <f t="shared" si="4"/>
        <v>620.1</v>
      </c>
      <c r="J30" s="78"/>
      <c r="K30" s="78">
        <v>620.1</v>
      </c>
      <c r="L30" s="78"/>
      <c r="M30" s="78"/>
      <c r="N30" s="78"/>
      <c r="O30" s="78"/>
      <c r="Q30" s="5" t="s">
        <v>269</v>
      </c>
      <c r="R30" s="5" t="s">
        <v>663</v>
      </c>
      <c r="S30">
        <v>35</v>
      </c>
      <c r="T30">
        <v>41.7</v>
      </c>
      <c r="U30">
        <v>0.9</v>
      </c>
      <c r="Z30">
        <v>65</v>
      </c>
      <c r="AF30" s="83"/>
      <c r="AI30">
        <v>40</v>
      </c>
      <c r="AJ30" s="5" t="s">
        <v>542</v>
      </c>
      <c r="AK30" t="s">
        <v>541</v>
      </c>
      <c r="AL30" s="5" t="s">
        <v>539</v>
      </c>
      <c r="AM30" t="s">
        <v>775</v>
      </c>
      <c r="AV30" s="5" t="s">
        <v>273</v>
      </c>
      <c r="AW30" t="s">
        <v>531</v>
      </c>
      <c r="AX30" s="90" t="s">
        <v>1214</v>
      </c>
      <c r="AY30" s="90"/>
      <c r="AZ30" s="90" t="s">
        <v>1214</v>
      </c>
      <c r="BA30" s="90"/>
      <c r="BB30" s="91"/>
      <c r="BC30" s="91" t="s">
        <v>663</v>
      </c>
      <c r="BD30" t="str">
        <f t="shared" si="2"/>
        <v>&lt;a href=https://www.energymining.sa.gov.au/industry/geological-survey/gssa-projects/magnetite-south-australia target="_blank"&gt;View Source&lt;/a&gt;</v>
      </c>
      <c r="BE30" t="str">
        <f t="shared" si="5"/>
        <v>&lt;a href=https://minerals.sarig.sa.gov.au/MineralDepositDetails.aspx?DEPOSIT_NO=3003&amp;ref=1target="_blank"&gt;View Source&lt;/a&gt;</v>
      </c>
      <c r="BF30" t="str">
        <f t="shared" si="3"/>
        <v>&lt;a href=https://announcements.asx.com.au/asxpdf/20071025/pdf/315bntb6zxqhz0.pdf target="_blank"&gt;View Source&lt;/a&gt;</v>
      </c>
    </row>
    <row r="31" spans="1:58" x14ac:dyDescent="0.25">
      <c r="A31" s="6" t="s">
        <v>376</v>
      </c>
      <c r="B31" t="s">
        <v>56</v>
      </c>
      <c r="C31" s="5" t="s">
        <v>347</v>
      </c>
      <c r="D31" t="s">
        <v>131</v>
      </c>
      <c r="E31" s="88">
        <v>-28.341699999999999</v>
      </c>
      <c r="F31" s="88">
        <v>116.8186</v>
      </c>
      <c r="G31" s="2" t="s">
        <v>49</v>
      </c>
      <c r="H31" s="4" t="s">
        <v>67</v>
      </c>
      <c r="I31" s="78">
        <f t="shared" si="4"/>
        <v>572.5</v>
      </c>
      <c r="J31" s="78"/>
      <c r="K31" s="78">
        <v>572.5</v>
      </c>
      <c r="L31" s="78"/>
      <c r="M31" s="78"/>
      <c r="N31" s="78"/>
      <c r="O31" s="78"/>
      <c r="Q31" s="5" t="s">
        <v>184</v>
      </c>
      <c r="R31" s="5" t="s">
        <v>240</v>
      </c>
      <c r="S31">
        <v>27.5</v>
      </c>
      <c r="T31">
        <v>47.84</v>
      </c>
      <c r="U31">
        <v>5.42</v>
      </c>
      <c r="V31">
        <v>0.06</v>
      </c>
      <c r="X31">
        <v>0.25</v>
      </c>
      <c r="Y31">
        <v>23</v>
      </c>
      <c r="Z31">
        <v>67</v>
      </c>
      <c r="AA31">
        <v>5.36</v>
      </c>
      <c r="AB31">
        <v>0.57999999999999996</v>
      </c>
      <c r="AC31">
        <v>1.2E-2</v>
      </c>
      <c r="AD31">
        <v>2.3E-2</v>
      </c>
      <c r="AF31" s="83">
        <f t="shared" ref="AF31:AF38" si="8">AA31+AB31</f>
        <v>5.94</v>
      </c>
      <c r="AJ31" s="5" t="s">
        <v>184</v>
      </c>
      <c r="AK31" t="s">
        <v>541</v>
      </c>
      <c r="AL31" s="5" t="s">
        <v>526</v>
      </c>
      <c r="AM31" t="s">
        <v>1201</v>
      </c>
      <c r="AN31" s="5"/>
      <c r="AT31">
        <v>5</v>
      </c>
      <c r="AV31" s="5" t="s">
        <v>185</v>
      </c>
      <c r="AX31" s="90" t="s">
        <v>1214</v>
      </c>
      <c r="AY31" s="90"/>
      <c r="AZ31" s="90" t="s">
        <v>1214</v>
      </c>
      <c r="BA31" s="90"/>
      <c r="BB31" s="91" t="s">
        <v>1236</v>
      </c>
      <c r="BC31" s="91"/>
      <c r="BD31" t="str">
        <f t="shared" si="2"/>
        <v>&lt;a href=https://announcements.asx.com.au/asxpdf/20120713/pdf/427dg2rmmmf732.pdf target="_blank"&gt;View Source&lt;/a&gt;</v>
      </c>
      <c r="BE31" t="str">
        <f t="shared" si="5"/>
        <v>&lt;a href=https://minedex.dmirs.wa.gov.au/Web/sites/details/6f4cc4c5-ec43-4d7f-87f3-a704a5b02ccb target="_blank"&gt;View Source&lt;/a&gt;</v>
      </c>
      <c r="BF31" t="str">
        <f t="shared" si="3"/>
        <v>&lt;a href=https://announcements.asx.com.au/asxpdf/20120713/pdf/427dg2rmmmf732.pdf target="_blank"&gt;View Source&lt;/a&gt;</v>
      </c>
    </row>
    <row r="32" spans="1:58" x14ac:dyDescent="0.25">
      <c r="A32" s="6" t="s">
        <v>342</v>
      </c>
      <c r="B32" t="s">
        <v>86</v>
      </c>
      <c r="C32" s="5" t="s">
        <v>346</v>
      </c>
      <c r="D32" t="s">
        <v>128</v>
      </c>
      <c r="E32" s="88">
        <v>-29.390577189999998</v>
      </c>
      <c r="F32" s="88">
        <v>135.03504018999999</v>
      </c>
      <c r="G32" s="2" t="s">
        <v>45</v>
      </c>
      <c r="H32" s="4" t="s">
        <v>67</v>
      </c>
      <c r="I32" s="78">
        <f t="shared" si="4"/>
        <v>569</v>
      </c>
      <c r="J32" s="78"/>
      <c r="K32" s="78">
        <v>569</v>
      </c>
      <c r="L32" s="78"/>
      <c r="M32" s="78"/>
      <c r="N32" s="78"/>
      <c r="O32" s="78"/>
      <c r="P32" t="s">
        <v>166</v>
      </c>
      <c r="Q32" s="5" t="s">
        <v>276</v>
      </c>
      <c r="R32" s="5" t="s">
        <v>664</v>
      </c>
      <c r="S32">
        <v>27.1</v>
      </c>
      <c r="T32">
        <v>45.7</v>
      </c>
      <c r="U32">
        <v>6.83</v>
      </c>
      <c r="V32">
        <v>0.13300000000000001</v>
      </c>
      <c r="W32">
        <v>0.03</v>
      </c>
      <c r="Y32">
        <v>18</v>
      </c>
      <c r="Z32">
        <v>68.5</v>
      </c>
      <c r="AA32">
        <v>2.11</v>
      </c>
      <c r="AB32">
        <v>0.32</v>
      </c>
      <c r="AC32">
        <v>1.0999999999999999E-2</v>
      </c>
      <c r="AD32">
        <v>8.0000000000000002E-3</v>
      </c>
      <c r="AF32" s="83">
        <f t="shared" si="8"/>
        <v>2.4299999999999997</v>
      </c>
      <c r="AH32">
        <v>80</v>
      </c>
      <c r="AI32">
        <v>35.5</v>
      </c>
      <c r="AJ32" s="5" t="s">
        <v>517</v>
      </c>
      <c r="AK32" t="s">
        <v>149</v>
      </c>
      <c r="AN32" s="5">
        <v>2013</v>
      </c>
      <c r="AO32">
        <v>294.60000000000002</v>
      </c>
      <c r="AP32">
        <v>288.60000000000002</v>
      </c>
      <c r="AQ32">
        <v>20.9</v>
      </c>
      <c r="AR32">
        <v>77.44</v>
      </c>
      <c r="AT32">
        <v>2.5</v>
      </c>
      <c r="AU32">
        <v>57.4</v>
      </c>
      <c r="AV32" s="5" t="s">
        <v>277</v>
      </c>
      <c r="AW32" t="s">
        <v>632</v>
      </c>
      <c r="AX32" s="90" t="s">
        <v>1214</v>
      </c>
      <c r="AY32" s="90"/>
      <c r="AZ32" s="90" t="s">
        <v>1214</v>
      </c>
      <c r="BA32" s="90"/>
      <c r="BB32" s="91"/>
      <c r="BC32" s="91" t="s">
        <v>664</v>
      </c>
      <c r="BD32" t="str">
        <f t="shared" si="2"/>
        <v>&lt;a href=https://www.aspecthuntley.com.au/asxdata/20120301/pdf/01274782.pdf target="_blank"&gt;View Source&lt;/a&gt;</v>
      </c>
      <c r="BE32" t="str">
        <f t="shared" si="5"/>
        <v>&lt;a href=https://minerals.sarig.sa.gov.au/MineralDepositDetails.aspx?DEPOSIT_NO=3760&amp;ref=1target="_blank"&gt;View Source&lt;/a&gt;</v>
      </c>
      <c r="BF32" t="str">
        <f t="shared" si="3"/>
        <v>&lt;a href=https://www.marketindex.com.au/asx/ida/announcements/imx-reports-favourable-metallurgical-test-results-XX642474 target="_blank"&gt;View Source&lt;/a&gt;</v>
      </c>
    </row>
    <row r="33" spans="1:58" x14ac:dyDescent="0.25">
      <c r="A33" s="5" t="s">
        <v>1168</v>
      </c>
      <c r="B33" s="84" t="s">
        <v>83</v>
      </c>
      <c r="C33" s="5" t="s">
        <v>690</v>
      </c>
      <c r="D33" t="s">
        <v>696</v>
      </c>
      <c r="E33" s="88">
        <v>-22.679697999999998</v>
      </c>
      <c r="F33" s="88">
        <v>115.519873</v>
      </c>
      <c r="G33" s="2" t="s">
        <v>49</v>
      </c>
      <c r="H33" s="4" t="s">
        <v>67</v>
      </c>
      <c r="I33" s="78">
        <f t="shared" si="4"/>
        <v>565.70000000000005</v>
      </c>
      <c r="J33" s="78"/>
      <c r="K33" s="78">
        <v>565.70000000000005</v>
      </c>
      <c r="L33" s="78"/>
      <c r="M33" s="78"/>
      <c r="N33" s="78"/>
      <c r="O33" s="78"/>
      <c r="P33" t="s">
        <v>156</v>
      </c>
      <c r="Q33" s="5" t="s">
        <v>211</v>
      </c>
      <c r="R33" s="5" t="s">
        <v>210</v>
      </c>
      <c r="S33">
        <v>30</v>
      </c>
      <c r="T33">
        <v>48.1</v>
      </c>
      <c r="U33">
        <v>2.2000000000000002</v>
      </c>
      <c r="V33">
        <v>0.1</v>
      </c>
      <c r="W33">
        <v>0.46</v>
      </c>
      <c r="X33">
        <v>-0.4</v>
      </c>
      <c r="Z33">
        <v>69.900000000000006</v>
      </c>
      <c r="AA33">
        <v>2.4</v>
      </c>
      <c r="AB33">
        <v>0.1</v>
      </c>
      <c r="AC33">
        <v>0.01</v>
      </c>
      <c r="AD33">
        <v>1.1000000000000001</v>
      </c>
      <c r="AE33">
        <v>-2.7</v>
      </c>
      <c r="AF33" s="83">
        <f t="shared" si="8"/>
        <v>2.5</v>
      </c>
      <c r="AI33">
        <v>24.8</v>
      </c>
      <c r="AJ33" s="5" t="s">
        <v>211</v>
      </c>
      <c r="AK33" t="s">
        <v>149</v>
      </c>
      <c r="AL33" s="5" t="s">
        <v>211</v>
      </c>
      <c r="AM33" t="s">
        <v>776</v>
      </c>
      <c r="AV33" s="5" t="s">
        <v>212</v>
      </c>
      <c r="AX33" s="90" t="s">
        <v>1214</v>
      </c>
      <c r="AY33" s="90"/>
      <c r="AZ33" s="90" t="s">
        <v>1214</v>
      </c>
      <c r="BA33" s="90"/>
      <c r="BB33" s="91" t="s">
        <v>1237</v>
      </c>
      <c r="BC33" s="91"/>
      <c r="BD33" t="str">
        <f t="shared" si="2"/>
        <v>&lt;a href=https://wcsecure.weblink.com.au/pdf/ZNC/01644858.pdf target="_blank"&gt;View Source&lt;/a&gt;</v>
      </c>
      <c r="BE33" t="str">
        <f t="shared" si="5"/>
        <v>&lt;a href=https://minedex.dmirs.wa.gov.au/Web/sites/details/4f672cbe-9570-4381-9363-7412ff7c2bb3 target="_blank"&gt;View Source&lt;/a&gt;</v>
      </c>
      <c r="BF33" t="str">
        <f t="shared" si="3"/>
        <v>&lt;a href=https://wcsecure.weblink.com.au/pdf/ZNC/01644858.pdf target="_blank"&gt;View Source&lt;/a&gt;</v>
      </c>
    </row>
    <row r="34" spans="1:58" x14ac:dyDescent="0.25">
      <c r="A34" s="5" t="s">
        <v>684</v>
      </c>
      <c r="B34" s="84" t="s">
        <v>84</v>
      </c>
      <c r="C34" s="5" t="s">
        <v>684</v>
      </c>
      <c r="D34" s="82" t="s">
        <v>340</v>
      </c>
      <c r="E34" s="88">
        <v>-30.3757890561</v>
      </c>
      <c r="F34" s="88">
        <v>131.93133809610001</v>
      </c>
      <c r="G34" s="2" t="s">
        <v>45</v>
      </c>
      <c r="H34" s="4" t="s">
        <v>67</v>
      </c>
      <c r="I34" s="78">
        <f t="shared" ref="I34:I65" si="9">J34+K34+L34</f>
        <v>560</v>
      </c>
      <c r="J34" s="78">
        <v>560</v>
      </c>
      <c r="K34" s="78"/>
      <c r="L34" s="78"/>
      <c r="M34" s="78"/>
      <c r="N34" s="78"/>
      <c r="O34" s="78"/>
      <c r="Q34" s="5" t="s">
        <v>341</v>
      </c>
      <c r="R34" s="5" t="s">
        <v>665</v>
      </c>
      <c r="Z34">
        <v>68.900000000000006</v>
      </c>
      <c r="AA34">
        <v>2.4</v>
      </c>
      <c r="AF34" s="83">
        <f t="shared" si="8"/>
        <v>2.4</v>
      </c>
      <c r="AJ34" s="5" t="s">
        <v>341</v>
      </c>
      <c r="AK34" t="s">
        <v>148</v>
      </c>
      <c r="AV34" s="5" t="s">
        <v>253</v>
      </c>
      <c r="AX34" s="90"/>
      <c r="AY34" s="90" t="s">
        <v>1230</v>
      </c>
      <c r="AZ34" s="90"/>
      <c r="BA34" s="90" t="s">
        <v>1217</v>
      </c>
      <c r="BB34" s="91"/>
      <c r="BC34" s="91" t="s">
        <v>665</v>
      </c>
      <c r="BD34" t="str">
        <f t="shared" si="2"/>
        <v>&lt;a href=https://www.energymining.sa.gov.au/industry/minerals-and-mining/mineral-commodities/iron-ore target="_blank"&gt;View Source&lt;/a&gt;</v>
      </c>
      <c r="BE34" t="str">
        <f t="shared" si="5"/>
        <v>&lt;a href=https://minerals.sarig.sa.gov.au/MineralDepositDetails.aspx?DEPOSIT_NO=33&amp;ref=1target="_blank"&gt;View Source&lt;/a&gt;</v>
      </c>
      <c r="BF34" t="str">
        <f t="shared" si="3"/>
        <v>&lt;a href=https://www.energymining.sa.gov.au/industry/minerals-and-mining/mineral-commodities/iron-ore target="_blank"&gt;View Source&lt;/a&gt;</v>
      </c>
    </row>
    <row r="35" spans="1:58" x14ac:dyDescent="0.25">
      <c r="A35" s="5" t="s">
        <v>684</v>
      </c>
      <c r="B35" s="84" t="s">
        <v>80</v>
      </c>
      <c r="C35" s="5" t="s">
        <v>684</v>
      </c>
      <c r="D35" t="s">
        <v>122</v>
      </c>
      <c r="E35" s="88">
        <v>-16.0869</v>
      </c>
      <c r="F35" s="88">
        <v>123.5502</v>
      </c>
      <c r="G35" s="2" t="s">
        <v>49</v>
      </c>
      <c r="H35" s="4" t="s">
        <v>67</v>
      </c>
      <c r="I35" s="78">
        <f t="shared" si="9"/>
        <v>543</v>
      </c>
      <c r="J35" s="94">
        <f>175+368</f>
        <v>543</v>
      </c>
      <c r="K35" s="78"/>
      <c r="L35" s="78"/>
      <c r="M35" s="78">
        <f>N35+O35</f>
        <v>283</v>
      </c>
      <c r="N35" s="78"/>
      <c r="O35" s="94">
        <v>283</v>
      </c>
      <c r="P35" t="s">
        <v>166</v>
      </c>
      <c r="Q35" s="5" t="s">
        <v>334</v>
      </c>
      <c r="R35" s="5" t="s">
        <v>205</v>
      </c>
      <c r="S35" s="83">
        <v>24.867403314917127</v>
      </c>
      <c r="T35" s="83">
        <v>56.00460405156538</v>
      </c>
      <c r="U35" s="83">
        <v>3.6166666666666667</v>
      </c>
      <c r="V35" s="83">
        <v>3.0066298342541438E-2</v>
      </c>
      <c r="W35" s="83">
        <v>0.1125598526703499</v>
      </c>
      <c r="X35" s="83">
        <v>1.6744014732965007</v>
      </c>
      <c r="Y35" s="83">
        <v>3.2228360957642725</v>
      </c>
      <c r="Z35" s="5">
        <v>69.11</v>
      </c>
      <c r="AA35">
        <v>3.26</v>
      </c>
      <c r="AB35">
        <v>0.1</v>
      </c>
      <c r="AC35">
        <v>5.0000000000000001E-3</v>
      </c>
      <c r="AD35">
        <v>1.0999999999999999E-2</v>
      </c>
      <c r="AF35" s="83">
        <f t="shared" si="8"/>
        <v>3.36</v>
      </c>
      <c r="AG35">
        <v>12</v>
      </c>
      <c r="AH35">
        <v>106</v>
      </c>
      <c r="AI35" s="83">
        <v>25.791160220994474</v>
      </c>
      <c r="AJ35" s="5" t="s">
        <v>487</v>
      </c>
      <c r="AK35" t="s">
        <v>541</v>
      </c>
      <c r="AL35" s="5" t="s">
        <v>564</v>
      </c>
      <c r="AN35" s="5">
        <v>2011</v>
      </c>
      <c r="AO35">
        <v>700</v>
      </c>
      <c r="AP35">
        <v>710</v>
      </c>
      <c r="AQ35">
        <v>38</v>
      </c>
      <c r="AS35">
        <v>74</v>
      </c>
      <c r="AT35" s="83">
        <f>40/11</f>
        <v>3.6363636363636362</v>
      </c>
      <c r="AU35" s="83"/>
      <c r="AV35" s="5" t="s">
        <v>335</v>
      </c>
      <c r="AW35" t="s">
        <v>594</v>
      </c>
      <c r="AX35" s="90"/>
      <c r="AY35" s="90" t="s">
        <v>1230</v>
      </c>
      <c r="AZ35" s="90"/>
      <c r="BA35" s="90" t="s">
        <v>1217</v>
      </c>
      <c r="BB35" s="91" t="s">
        <v>1238</v>
      </c>
      <c r="BC35" s="91"/>
      <c r="BD35" t="str">
        <f t="shared" si="2"/>
        <v>&lt;a href=https://www.aspecthuntley.com.au/asxdata/20120222/pdf/01271121.pdf target="_blank"&gt;View Source&lt;/a&gt;</v>
      </c>
      <c r="BE35" t="str">
        <f t="shared" si="5"/>
        <v>&lt;a href=https://minedex.dmirs.wa.gov.au/Web/sites/details/60d3f46b-f002-4986-b817-890981b1ece0 target="_blank"&gt;View Source&lt;/a&gt;</v>
      </c>
      <c r="BF35" t="str">
        <f t="shared" si="3"/>
        <v>&lt;a href=https://www.aspecthuntley.com.au/asxdata/20110228/pdf/01156152.pdf target="_blank"&gt;View Source&lt;/a&gt;</v>
      </c>
    </row>
    <row r="36" spans="1:58" x14ac:dyDescent="0.25">
      <c r="A36" s="6" t="s">
        <v>365</v>
      </c>
      <c r="B36" s="84" t="s">
        <v>95</v>
      </c>
      <c r="C36" s="5" t="s">
        <v>364</v>
      </c>
      <c r="D36" t="s">
        <v>61</v>
      </c>
      <c r="E36" s="88">
        <v>-29.480599999999999</v>
      </c>
      <c r="F36" s="88">
        <v>117.07989999999999</v>
      </c>
      <c r="G36" s="2" t="s">
        <v>49</v>
      </c>
      <c r="H36" s="4" t="s">
        <v>67</v>
      </c>
      <c r="I36" s="78">
        <f t="shared" si="9"/>
        <v>523.29999999999995</v>
      </c>
      <c r="J36" s="78">
        <v>84.4</v>
      </c>
      <c r="K36" s="78">
        <v>417</v>
      </c>
      <c r="L36" s="78">
        <v>21.9</v>
      </c>
      <c r="M36" s="78"/>
      <c r="N36" s="78"/>
      <c r="O36" s="78"/>
      <c r="P36" t="s">
        <v>156</v>
      </c>
      <c r="Q36" s="5" t="s">
        <v>220</v>
      </c>
      <c r="R36" s="5" t="s">
        <v>221</v>
      </c>
      <c r="S36">
        <v>31.3</v>
      </c>
      <c r="T36">
        <v>46.9</v>
      </c>
      <c r="U36">
        <v>1.9</v>
      </c>
      <c r="W36">
        <v>0.4</v>
      </c>
      <c r="Y36">
        <v>15</v>
      </c>
      <c r="Z36">
        <v>68.2</v>
      </c>
      <c r="AA36">
        <v>4.3</v>
      </c>
      <c r="AB36">
        <v>0.2</v>
      </c>
      <c r="AC36">
        <v>0.01</v>
      </c>
      <c r="AD36">
        <v>0.6</v>
      </c>
      <c r="AE36">
        <v>-2.7</v>
      </c>
      <c r="AF36" s="83">
        <f t="shared" si="8"/>
        <v>4.5</v>
      </c>
      <c r="AG36">
        <v>15</v>
      </c>
      <c r="AI36">
        <v>32</v>
      </c>
      <c r="AJ36" s="5" t="s">
        <v>220</v>
      </c>
      <c r="AK36" t="s">
        <v>148</v>
      </c>
      <c r="AL36" s="5" t="s">
        <v>365</v>
      </c>
      <c r="AM36" t="s">
        <v>777</v>
      </c>
      <c r="AV36" s="5" t="s">
        <v>223</v>
      </c>
      <c r="AW36" s="5" t="s">
        <v>222</v>
      </c>
      <c r="AX36" s="90" t="s">
        <v>1214</v>
      </c>
      <c r="AY36" s="90"/>
      <c r="AZ36" s="90" t="s">
        <v>1214</v>
      </c>
      <c r="BA36" s="90"/>
      <c r="BB36" s="91" t="s">
        <v>1239</v>
      </c>
      <c r="BC36" s="91"/>
      <c r="BD36" t="str">
        <f t="shared" si="2"/>
        <v>&lt;a href=https://www.listcorp.com/asx/acs/accent-resources/news/magnetite-range-mineral-resource-update-2997134.html target="_blank"&gt;View Source&lt;/a&gt;</v>
      </c>
      <c r="BE36" t="str">
        <f t="shared" si="5"/>
        <v>&lt;a href=https://minedex.dmirs.wa.gov.au/Web/projects/details/15d56d41-8c44-41da-be09-9e15c5ee09f6 target="_blank"&gt;View Source&lt;/a&gt;</v>
      </c>
      <c r="BF36" t="str">
        <f t="shared" si="3"/>
        <v>&lt;a href=https://www.listcorp.com/asx/acs/accent-resources/news/magnetite-range-mineral-resource-update-2997134.html target="_blank"&gt;View Source&lt;/a&gt;</v>
      </c>
    </row>
    <row r="37" spans="1:58" x14ac:dyDescent="0.25">
      <c r="A37" s="5" t="s">
        <v>697</v>
      </c>
      <c r="B37" s="84" t="s">
        <v>94</v>
      </c>
      <c r="C37" s="5" t="s">
        <v>698</v>
      </c>
      <c r="D37" t="s">
        <v>699</v>
      </c>
      <c r="E37" s="88">
        <v>-29.182081775699999</v>
      </c>
      <c r="F37" s="88">
        <v>116.202571757</v>
      </c>
      <c r="G37" s="2" t="s">
        <v>49</v>
      </c>
      <c r="H37" s="4" t="s">
        <v>67</v>
      </c>
      <c r="I37" s="78">
        <f t="shared" si="9"/>
        <v>488.3</v>
      </c>
      <c r="J37" s="78"/>
      <c r="K37" s="78">
        <v>488.3</v>
      </c>
      <c r="L37" s="78"/>
      <c r="M37" s="78"/>
      <c r="N37" s="78"/>
      <c r="O37" s="78"/>
      <c r="Q37" s="5" t="s">
        <v>216</v>
      </c>
      <c r="R37" s="5" t="s">
        <v>216</v>
      </c>
      <c r="S37">
        <v>33.299999999999997</v>
      </c>
      <c r="T37">
        <v>45</v>
      </c>
      <c r="U37">
        <v>1.1000000000000001</v>
      </c>
      <c r="V37">
        <v>0.08</v>
      </c>
      <c r="X37">
        <v>0.8</v>
      </c>
      <c r="Z37">
        <v>66.3</v>
      </c>
      <c r="AA37">
        <v>5.8</v>
      </c>
      <c r="AF37" s="83">
        <f t="shared" si="8"/>
        <v>5.8</v>
      </c>
      <c r="AI37">
        <v>37</v>
      </c>
      <c r="AJ37" s="5" t="s">
        <v>486</v>
      </c>
      <c r="AK37" t="s">
        <v>148</v>
      </c>
      <c r="AL37" s="5" t="s">
        <v>561</v>
      </c>
      <c r="AM37" t="s">
        <v>806</v>
      </c>
      <c r="AU37">
        <v>180.17</v>
      </c>
      <c r="AV37" s="5" t="s">
        <v>217</v>
      </c>
      <c r="AX37" s="90" t="s">
        <v>1214</v>
      </c>
      <c r="AY37" s="90"/>
      <c r="AZ37" s="90" t="s">
        <v>1214</v>
      </c>
      <c r="BA37" s="90"/>
      <c r="BB37" s="91" t="s">
        <v>1240</v>
      </c>
      <c r="BC37" s="91"/>
      <c r="BD37" t="str">
        <f t="shared" si="2"/>
        <v>&lt;a href=https://minedex.dmirs.wa.gov.au/Web/resource-estimates/details/site/951805f3-e76b-af7a-a423-431abfef12d1 target="_blank"&gt;View Source&lt;/a&gt;</v>
      </c>
      <c r="BE37" t="str">
        <f t="shared" si="5"/>
        <v>&lt;a href=https://minedex.dmirs.wa.gov.au/Web/resource-estimates/details/site/951805f3-e76b-af7a-a423-431abfef12d1 target="_blank"&gt;View Source&lt;/a&gt;</v>
      </c>
      <c r="BF37" t="str">
        <f t="shared" si="3"/>
        <v>&lt;a href=https://geodocs.dmirs.wa.gov.au/Web/documentlist/10/Report_Ref/A100900 target="_blank"&gt;View Source&lt;/a&gt;</v>
      </c>
    </row>
    <row r="38" spans="1:58" x14ac:dyDescent="0.25">
      <c r="A38" s="6" t="s">
        <v>1169</v>
      </c>
      <c r="B38" s="84" t="s">
        <v>93</v>
      </c>
      <c r="C38" s="6" t="s">
        <v>1169</v>
      </c>
      <c r="D38" t="s">
        <v>40</v>
      </c>
      <c r="E38" s="88">
        <v>-33.008915868275999</v>
      </c>
      <c r="F38" s="88">
        <v>137.12117072325799</v>
      </c>
      <c r="G38" s="2" t="s">
        <v>45</v>
      </c>
      <c r="H38" s="4" t="s">
        <v>67</v>
      </c>
      <c r="I38" s="78">
        <f t="shared" si="9"/>
        <v>487.1</v>
      </c>
      <c r="J38" s="78"/>
      <c r="K38" s="78">
        <v>487.1</v>
      </c>
      <c r="L38" s="78"/>
      <c r="M38" s="78"/>
      <c r="N38" s="78"/>
      <c r="O38" s="78"/>
      <c r="P38" t="s">
        <v>156</v>
      </c>
      <c r="Q38" s="5" t="s">
        <v>272</v>
      </c>
      <c r="R38" s="5" t="s">
        <v>666</v>
      </c>
      <c r="S38">
        <v>24.7</v>
      </c>
      <c r="T38">
        <v>53.8</v>
      </c>
      <c r="Z38">
        <v>68.599999999999994</v>
      </c>
      <c r="AA38">
        <v>2.9</v>
      </c>
      <c r="AF38" s="83">
        <f t="shared" si="8"/>
        <v>2.9</v>
      </c>
      <c r="AG38">
        <v>5</v>
      </c>
      <c r="AH38">
        <v>38</v>
      </c>
      <c r="AI38">
        <v>18.5</v>
      </c>
      <c r="AJ38" s="5" t="s">
        <v>272</v>
      </c>
      <c r="AK38" t="s">
        <v>148</v>
      </c>
      <c r="AV38" s="5" t="s">
        <v>362</v>
      </c>
      <c r="AX38" s="90" t="s">
        <v>1214</v>
      </c>
      <c r="AY38" s="90"/>
      <c r="AZ38" s="90" t="s">
        <v>1214</v>
      </c>
      <c r="BA38" s="90"/>
      <c r="BB38" s="91"/>
      <c r="BC38" s="91" t="s">
        <v>666</v>
      </c>
      <c r="BD38" t="str">
        <f t="shared" si="2"/>
        <v>&lt;a href=https://www.aspecthuntley.com.au/asxdata/20140729/pdf/01536981.pdf target="_blank"&gt;View Source&lt;/a&gt;</v>
      </c>
      <c r="BE38" t="str">
        <f t="shared" si="5"/>
        <v>&lt;a href=https://minerals.sarig.sa.gov.au/MineralDepositDetails.aspx?DEPOSIT_NO=9807&amp;ref=1target="_blank"&gt;View Source&lt;/a&gt;</v>
      </c>
      <c r="BF38" t="str">
        <f t="shared" si="3"/>
        <v>&lt;a href=https://www.aspecthuntley.com.au/asxdata/20140729/pdf/01536981.pdf target="_blank"&gt;View Source&lt;/a&gt;</v>
      </c>
    </row>
    <row r="39" spans="1:58" x14ac:dyDescent="0.25">
      <c r="A39" s="6" t="s">
        <v>686</v>
      </c>
      <c r="B39" s="84" t="s">
        <v>16</v>
      </c>
      <c r="C39" s="5" t="s">
        <v>686</v>
      </c>
      <c r="D39" t="s">
        <v>113</v>
      </c>
      <c r="E39" s="88">
        <v>-41.487982397000003</v>
      </c>
      <c r="F39" s="88">
        <v>145.20442883769999</v>
      </c>
      <c r="G39" s="2" t="s">
        <v>48</v>
      </c>
      <c r="H39" s="4" t="s">
        <v>21</v>
      </c>
      <c r="I39" s="78">
        <f t="shared" si="9"/>
        <v>471.79999999999995</v>
      </c>
      <c r="J39" s="78">
        <v>161.19999999999999</v>
      </c>
      <c r="K39" s="78">
        <v>141.5</v>
      </c>
      <c r="L39" s="78">
        <v>169.1</v>
      </c>
      <c r="M39" s="78">
        <f>N39+O39</f>
        <v>109.2</v>
      </c>
      <c r="N39" s="78">
        <v>34.700000000000003</v>
      </c>
      <c r="O39" s="78">
        <v>74.5</v>
      </c>
      <c r="P39" t="s">
        <v>156</v>
      </c>
      <c r="Q39" s="5" t="s">
        <v>280</v>
      </c>
      <c r="R39" s="5" t="s">
        <v>685</v>
      </c>
      <c r="V39">
        <v>7.0000000000000001E-3</v>
      </c>
      <c r="W39">
        <v>0.08</v>
      </c>
      <c r="Y39">
        <v>15</v>
      </c>
      <c r="Z39">
        <v>68.3</v>
      </c>
      <c r="AC39">
        <v>7.0000000000000001E-3</v>
      </c>
      <c r="AD39">
        <v>0.08</v>
      </c>
      <c r="AF39" s="83"/>
      <c r="AH39">
        <v>45</v>
      </c>
      <c r="AI39">
        <v>44.4</v>
      </c>
      <c r="AJ39" s="5" t="s">
        <v>280</v>
      </c>
      <c r="AK39" t="s">
        <v>21</v>
      </c>
      <c r="AX39" s="90" t="s">
        <v>1214</v>
      </c>
      <c r="AY39" s="90"/>
      <c r="AZ39" s="90" t="s">
        <v>1214</v>
      </c>
      <c r="BA39" s="90"/>
      <c r="BB39" s="91"/>
      <c r="BC39" s="91"/>
      <c r="BD39" t="str">
        <f t="shared" si="2"/>
        <v>&lt;a href=https://grange.blob.core.windows.net/public/ce6fad1a-c025-47c1-96f9-55d9f18830cb.pdf target="_blank"&gt;View Source&lt;/a&gt;</v>
      </c>
      <c r="BF39" t="str">
        <f t="shared" si="3"/>
        <v>&lt;a href=https://grange.blob.core.windows.net/public/ce6fad1a-c025-47c1-96f9-55d9f18830cb.pdf target="_blank"&gt;View Source&lt;/a&gt;</v>
      </c>
    </row>
    <row r="40" spans="1:58" x14ac:dyDescent="0.25">
      <c r="A40" s="5" t="s">
        <v>684</v>
      </c>
      <c r="B40" s="84" t="s">
        <v>58</v>
      </c>
      <c r="C40" s="5" t="s">
        <v>684</v>
      </c>
      <c r="E40" s="88">
        <v>-30.164535966116901</v>
      </c>
      <c r="F40" s="88">
        <v>134.61208478873399</v>
      </c>
      <c r="G40" s="2" t="s">
        <v>45</v>
      </c>
      <c r="H40" s="4" t="s">
        <v>67</v>
      </c>
      <c r="I40" s="78">
        <f t="shared" si="9"/>
        <v>471</v>
      </c>
      <c r="J40" s="78"/>
      <c r="K40" s="78">
        <v>471</v>
      </c>
      <c r="L40" s="78"/>
      <c r="M40" s="78"/>
      <c r="N40" s="78"/>
      <c r="O40" s="78"/>
      <c r="Q40" s="5" t="s">
        <v>269</v>
      </c>
      <c r="R40" s="5" t="s">
        <v>667</v>
      </c>
      <c r="S40">
        <v>32.18</v>
      </c>
      <c r="T40">
        <v>45.4</v>
      </c>
      <c r="U40">
        <v>0.43</v>
      </c>
      <c r="Y40">
        <v>20</v>
      </c>
      <c r="Z40">
        <v>69.2</v>
      </c>
      <c r="AA40">
        <v>3.6</v>
      </c>
      <c r="AB40">
        <v>0.03</v>
      </c>
      <c r="AC40">
        <v>5.0000000000000001E-3</v>
      </c>
      <c r="AD40">
        <v>4.4999999999999998E-2</v>
      </c>
      <c r="AE40">
        <v>-3.16</v>
      </c>
      <c r="AF40" s="83">
        <f>AA40+AB40</f>
        <v>3.63</v>
      </c>
      <c r="AH40">
        <v>45</v>
      </c>
      <c r="AI40">
        <v>39</v>
      </c>
      <c r="AJ40" s="5" t="s">
        <v>269</v>
      </c>
      <c r="AK40" t="s">
        <v>148</v>
      </c>
      <c r="AX40" s="90"/>
      <c r="AY40" s="90" t="s">
        <v>1230</v>
      </c>
      <c r="AZ40" s="90"/>
      <c r="BA40" s="90" t="s">
        <v>1217</v>
      </c>
      <c r="BB40" s="91"/>
      <c r="BC40" s="91" t="s">
        <v>667</v>
      </c>
      <c r="BD40" t="str">
        <f t="shared" si="2"/>
        <v>&lt;a href=https://www.energymining.sa.gov.au/industry/geological-survey/gssa-projects/magnetite-south-australia target="_blank"&gt;View Source&lt;/a&gt;</v>
      </c>
      <c r="BE40" t="str">
        <f t="shared" si="5"/>
        <v>&lt;a href=https://minerals.sarig.sa.gov.au/MineralDepositDetails.aspx?DEPOSIT_NO=11181&amp;ref=1target="_blank"&gt;View Source&lt;/a&gt;</v>
      </c>
      <c r="BF40" t="str">
        <f t="shared" si="3"/>
        <v>&lt;a href=https://www.energymining.sa.gov.au/industry/geological-survey/gssa-projects/magnetite-south-australia target="_blank"&gt;View Source&lt;/a&gt;</v>
      </c>
    </row>
    <row r="41" spans="1:58" x14ac:dyDescent="0.25">
      <c r="A41" s="6" t="s">
        <v>157</v>
      </c>
      <c r="B41" s="84" t="s">
        <v>90</v>
      </c>
      <c r="C41" s="5" t="s">
        <v>157</v>
      </c>
      <c r="D41" t="s">
        <v>109</v>
      </c>
      <c r="E41" s="88">
        <v>-23.845304037399998</v>
      </c>
      <c r="F41" s="88">
        <v>150.43437501540001</v>
      </c>
      <c r="G41" s="2" t="s">
        <v>47</v>
      </c>
      <c r="H41" s="4" t="s">
        <v>67</v>
      </c>
      <c r="I41" s="78">
        <f t="shared" si="9"/>
        <v>465</v>
      </c>
      <c r="J41" s="78">
        <v>154</v>
      </c>
      <c r="K41" s="78">
        <v>311</v>
      </c>
      <c r="L41" s="78"/>
      <c r="M41" s="78"/>
      <c r="N41" s="78"/>
      <c r="O41" s="78"/>
      <c r="P41" t="s">
        <v>156</v>
      </c>
      <c r="Q41" s="5" t="s">
        <v>402</v>
      </c>
      <c r="R41" s="5" t="s">
        <v>685</v>
      </c>
      <c r="S41">
        <v>13.1</v>
      </c>
      <c r="Y41">
        <v>10</v>
      </c>
      <c r="Z41">
        <v>61.45</v>
      </c>
      <c r="AA41">
        <v>1.44</v>
      </c>
      <c r="AB41">
        <v>3.29</v>
      </c>
      <c r="AC41">
        <v>-1E-3</v>
      </c>
      <c r="AD41">
        <v>0.623</v>
      </c>
      <c r="AF41" s="83">
        <f>AA41+AB41</f>
        <v>4.7300000000000004</v>
      </c>
      <c r="AH41">
        <v>150</v>
      </c>
      <c r="AI41">
        <v>14.2</v>
      </c>
      <c r="AJ41" s="5" t="s">
        <v>250</v>
      </c>
      <c r="AK41" t="s">
        <v>148</v>
      </c>
      <c r="AN41" s="5">
        <v>2012</v>
      </c>
      <c r="AT41" s="5">
        <v>3.2</v>
      </c>
      <c r="AU41" s="5"/>
      <c r="AV41" s="5"/>
      <c r="AX41" s="90" t="s">
        <v>1214</v>
      </c>
      <c r="AY41" s="90"/>
      <c r="AZ41" s="90" t="s">
        <v>1214</v>
      </c>
      <c r="BA41" s="90"/>
      <c r="BB41" s="91"/>
      <c r="BC41" s="91"/>
      <c r="BD41" t="str">
        <f t="shared" si="2"/>
        <v>&lt;a href=https://www.marketindex.com.au/asx/efe/announcements/maiden-resource-for-eulogie-project-XX653269 target="_blank"&gt;View Source&lt;/a&gt;</v>
      </c>
      <c r="BF41" t="str">
        <f t="shared" si="3"/>
        <v>&lt;a href=https://announcements.asx.com.au/asxpdf/20120130/pdf/42408wvsx98cwx.pdf target="_blank"&gt;View Source&lt;/a&gt;</v>
      </c>
    </row>
    <row r="42" spans="1:58" x14ac:dyDescent="0.25">
      <c r="A42" s="5" t="s">
        <v>684</v>
      </c>
      <c r="B42" s="2" t="s">
        <v>42</v>
      </c>
      <c r="C42" s="5" t="s">
        <v>684</v>
      </c>
      <c r="D42" t="s">
        <v>508</v>
      </c>
      <c r="E42" s="88">
        <v>-20.765999999999998</v>
      </c>
      <c r="F42" s="88">
        <v>117.7757</v>
      </c>
      <c r="G42" s="2" t="s">
        <v>49</v>
      </c>
      <c r="H42" s="4" t="s">
        <v>67</v>
      </c>
      <c r="I42" s="78">
        <f t="shared" si="9"/>
        <v>455.9</v>
      </c>
      <c r="J42" s="78">
        <v>86.7</v>
      </c>
      <c r="K42" s="78">
        <v>150.19999999999999</v>
      </c>
      <c r="L42">
        <v>219</v>
      </c>
      <c r="M42" s="78">
        <f>N42+O42</f>
        <v>229</v>
      </c>
      <c r="N42" s="78">
        <v>185.1</v>
      </c>
      <c r="O42" s="78">
        <v>43.9</v>
      </c>
      <c r="P42" t="s">
        <v>166</v>
      </c>
      <c r="Q42" s="5" t="s">
        <v>506</v>
      </c>
      <c r="R42" s="5" t="s">
        <v>513</v>
      </c>
      <c r="S42">
        <v>44.7</v>
      </c>
      <c r="Z42">
        <v>57.7</v>
      </c>
      <c r="AA42">
        <v>2</v>
      </c>
      <c r="AB42">
        <v>1</v>
      </c>
      <c r="AC42">
        <v>1.4999999999999999E-2</v>
      </c>
      <c r="AD42">
        <v>0.13</v>
      </c>
      <c r="AF42" s="83">
        <f>AA42+AB42</f>
        <v>3</v>
      </c>
      <c r="AJ42" s="5" t="s">
        <v>506</v>
      </c>
      <c r="AK42" t="s">
        <v>541</v>
      </c>
      <c r="AL42" s="5" t="s">
        <v>559</v>
      </c>
      <c r="AM42" t="s">
        <v>778</v>
      </c>
      <c r="AN42" s="5">
        <v>2010</v>
      </c>
      <c r="AO42">
        <v>1229</v>
      </c>
      <c r="AS42">
        <v>35</v>
      </c>
      <c r="AT42">
        <v>6</v>
      </c>
      <c r="AV42" s="5" t="s">
        <v>507</v>
      </c>
      <c r="AW42" t="s">
        <v>633</v>
      </c>
      <c r="AX42" s="90"/>
      <c r="AY42" s="90" t="s">
        <v>1230</v>
      </c>
      <c r="AZ42" s="90"/>
      <c r="BA42" s="90" t="s">
        <v>1217</v>
      </c>
      <c r="BB42" s="91" t="s">
        <v>1241</v>
      </c>
      <c r="BC42" s="91"/>
      <c r="BD42" t="str">
        <f t="shared" si="2"/>
        <v>&lt;a href=https://announcements.asx.com.au/asxpdf/20111216/pdf/4239v45c02k79t.pdf target="_blank"&gt;View Source&lt;/a&gt;</v>
      </c>
      <c r="BE42" t="str">
        <f t="shared" si="5"/>
        <v>&lt;a href=https://minedex.dmirs.wa.gov.au/Web/projects/details/b07edb60-390e-44de-aa80-0a1f772ab7e7 target="_blank"&gt;View Source&lt;/a&gt;</v>
      </c>
      <c r="BF42" t="str">
        <f t="shared" si="3"/>
        <v>&lt;a href=https://announcements.asx.com.au/asxpdf/20111216/pdf/4239v45c02k79t.pdf target="_blank"&gt;View Source&lt;/a&gt;</v>
      </c>
    </row>
    <row r="43" spans="1:58" x14ac:dyDescent="0.25">
      <c r="A43" s="6" t="s">
        <v>343</v>
      </c>
      <c r="B43" t="s">
        <v>121</v>
      </c>
      <c r="C43" s="5" t="s">
        <v>348</v>
      </c>
      <c r="D43" s="82" t="s">
        <v>291</v>
      </c>
      <c r="E43" s="88">
        <v>-21.36</v>
      </c>
      <c r="F43" s="88">
        <v>116.2</v>
      </c>
      <c r="G43" s="2" t="s">
        <v>49</v>
      </c>
      <c r="H43" s="4" t="s">
        <v>67</v>
      </c>
      <c r="I43" s="78">
        <f t="shared" si="9"/>
        <v>450</v>
      </c>
      <c r="J43" s="78">
        <v>450</v>
      </c>
      <c r="K43" s="78"/>
      <c r="L43" s="78"/>
      <c r="M43" s="78"/>
      <c r="N43" s="78"/>
      <c r="O43" s="78"/>
      <c r="Q43" s="5" t="s">
        <v>292</v>
      </c>
      <c r="R43" s="5" t="s">
        <v>685</v>
      </c>
      <c r="S43">
        <v>27</v>
      </c>
      <c r="T43">
        <v>49</v>
      </c>
      <c r="U43">
        <v>3.8</v>
      </c>
      <c r="Y43">
        <v>21</v>
      </c>
      <c r="Z43" s="5">
        <v>65</v>
      </c>
      <c r="AF43" s="83"/>
      <c r="AI43">
        <v>25</v>
      </c>
      <c r="AJ43" s="5" t="s">
        <v>493</v>
      </c>
      <c r="AK43" t="s">
        <v>148</v>
      </c>
      <c r="AV43" s="5" t="s">
        <v>293</v>
      </c>
      <c r="AW43" t="s">
        <v>779</v>
      </c>
      <c r="AX43" s="90" t="s">
        <v>1214</v>
      </c>
      <c r="AY43" s="90"/>
      <c r="AZ43" s="90" t="s">
        <v>1214</v>
      </c>
      <c r="BA43" s="90"/>
      <c r="BB43" s="91"/>
      <c r="BC43" s="91"/>
      <c r="BD43" t="str">
        <f t="shared" si="2"/>
        <v>&lt;a href=https://wcsecure.weblink.com.au/pdf/CZR/02693353.pdf target="_blank"&gt;View Source&lt;/a&gt;</v>
      </c>
      <c r="BF43" t="str">
        <f t="shared" si="3"/>
        <v>&lt;a href=https://cdn-api.markitdigital.com/apiman-gateway/ASX/asx-research/1.0/file/2995-01734869-6A761286?access_token=83ff96335c2d45a094df02a206a39ff4 target="_blank"&gt;View Source&lt;/a&gt;</v>
      </c>
    </row>
    <row r="44" spans="1:58" x14ac:dyDescent="0.25">
      <c r="A44" s="5" t="s">
        <v>684</v>
      </c>
      <c r="B44" t="s">
        <v>89</v>
      </c>
      <c r="C44" s="5" t="s">
        <v>684</v>
      </c>
      <c r="D44" t="s">
        <v>117</v>
      </c>
      <c r="E44" s="88">
        <v>-29.985575000000001</v>
      </c>
      <c r="F44" s="88">
        <v>119.438547</v>
      </c>
      <c r="G44" s="2" t="s">
        <v>49</v>
      </c>
      <c r="H44" s="4" t="s">
        <v>67</v>
      </c>
      <c r="I44" s="78">
        <f t="shared" si="9"/>
        <v>352.5</v>
      </c>
      <c r="J44" s="78">
        <v>214.9</v>
      </c>
      <c r="K44" s="78">
        <v>137.6</v>
      </c>
      <c r="L44" s="78"/>
      <c r="M44" s="78"/>
      <c r="N44" s="78"/>
      <c r="O44" s="78"/>
      <c r="Q44" s="5" t="s">
        <v>202</v>
      </c>
      <c r="R44" s="5" t="s">
        <v>199</v>
      </c>
      <c r="S44">
        <v>26.1</v>
      </c>
      <c r="T44">
        <v>51.4</v>
      </c>
      <c r="U44">
        <v>3.4</v>
      </c>
      <c r="V44">
        <v>7.0000000000000007E-2</v>
      </c>
      <c r="W44">
        <v>0.7</v>
      </c>
      <c r="X44">
        <v>0.9</v>
      </c>
      <c r="Y44">
        <v>20</v>
      </c>
      <c r="Z44">
        <v>69.2</v>
      </c>
      <c r="AA44">
        <v>4.3</v>
      </c>
      <c r="AB44">
        <v>0.1</v>
      </c>
      <c r="AC44">
        <v>0.01</v>
      </c>
      <c r="AD44">
        <v>0.3</v>
      </c>
      <c r="AF44" s="83">
        <f>AA44+AB44</f>
        <v>4.3999999999999995</v>
      </c>
      <c r="AG44">
        <v>20</v>
      </c>
      <c r="AH44">
        <v>50</v>
      </c>
      <c r="AI44">
        <v>33.799999999999997</v>
      </c>
      <c r="AJ44" s="5" t="s">
        <v>202</v>
      </c>
      <c r="AK44" t="s">
        <v>148</v>
      </c>
      <c r="AL44" s="5" t="s">
        <v>202</v>
      </c>
      <c r="AM44" t="s">
        <v>780</v>
      </c>
      <c r="AU44">
        <v>112</v>
      </c>
      <c r="AV44" s="5" t="s">
        <v>566</v>
      </c>
      <c r="AX44" s="90"/>
      <c r="AY44" s="90" t="s">
        <v>1230</v>
      </c>
      <c r="AZ44" s="90"/>
      <c r="BA44" s="90" t="s">
        <v>1217</v>
      </c>
      <c r="BB44" s="91" t="s">
        <v>1242</v>
      </c>
      <c r="BC44" s="91"/>
      <c r="BD44" t="str">
        <f t="shared" si="2"/>
        <v>&lt;a href=https://www.marketindex.com.au/asx/wbt/announcements/maiden-353-mt-magnetite-jorc-resource-for-die-hardy-XX566777 target="_blank"&gt;View Source&lt;/a&gt;</v>
      </c>
      <c r="BE44" t="str">
        <f t="shared" si="5"/>
        <v>&lt;a href=https://minedex.dmirs.wa.gov.au/Web/projects/details/4574a758-65ef-4de7-b0e9-8f33429cfc06 target="_blank"&gt;View Source&lt;/a&gt;</v>
      </c>
      <c r="BF44" t="str">
        <f t="shared" si="3"/>
        <v>&lt;a href=https://www.marketindex.com.au/asx/wbt/announcements/maiden-353-mt-magnetite-jorc-resource-for-die-hardy-XX566777 target="_blank"&gt;View Source&lt;/a&gt;</v>
      </c>
    </row>
    <row r="45" spans="1:58" x14ac:dyDescent="0.25">
      <c r="A45" s="5" t="s">
        <v>684</v>
      </c>
      <c r="B45" s="95" t="s">
        <v>412</v>
      </c>
      <c r="C45" s="5" t="s">
        <v>684</v>
      </c>
      <c r="D45" s="96"/>
      <c r="E45" s="88">
        <v>-21.363938999999998</v>
      </c>
      <c r="F45" s="88">
        <v>116.15969800000001</v>
      </c>
      <c r="G45" s="4" t="s">
        <v>49</v>
      </c>
      <c r="H45" s="4" t="s">
        <v>67</v>
      </c>
      <c r="I45" s="97">
        <f t="shared" si="9"/>
        <v>350</v>
      </c>
      <c r="J45" s="97">
        <v>350</v>
      </c>
      <c r="K45" s="97"/>
      <c r="L45" s="97"/>
      <c r="M45" s="97"/>
      <c r="N45" s="97"/>
      <c r="O45" s="97"/>
      <c r="P45" s="79"/>
      <c r="Q45" s="5" t="s">
        <v>295</v>
      </c>
      <c r="R45" s="5" t="s">
        <v>294</v>
      </c>
      <c r="S45" s="79">
        <v>30.2</v>
      </c>
      <c r="T45" s="79"/>
      <c r="U45" s="79"/>
      <c r="V45" s="79"/>
      <c r="W45" s="79"/>
      <c r="X45" s="79"/>
      <c r="Y45" s="79"/>
      <c r="Z45" s="79">
        <v>68</v>
      </c>
      <c r="AA45" s="79">
        <v>4.5</v>
      </c>
      <c r="AB45" s="79"/>
      <c r="AC45" s="79"/>
      <c r="AD45" s="79"/>
      <c r="AE45" s="79"/>
      <c r="AF45" s="98">
        <f>AA45+AB45</f>
        <v>4.5</v>
      </c>
      <c r="AG45" s="79"/>
      <c r="AH45" s="79"/>
      <c r="AI45" s="79">
        <v>33</v>
      </c>
      <c r="AJ45" s="81" t="s">
        <v>491</v>
      </c>
      <c r="AK45" s="79" t="s">
        <v>148</v>
      </c>
      <c r="AL45" s="79"/>
      <c r="AM45" s="79"/>
      <c r="AN45" s="79"/>
      <c r="AO45" s="79"/>
      <c r="AP45" s="79"/>
      <c r="AQ45" s="79"/>
      <c r="AR45" s="79"/>
      <c r="AS45" s="79"/>
      <c r="AT45" s="81"/>
      <c r="AU45" s="79">
        <v>116</v>
      </c>
      <c r="AV45" s="81"/>
      <c r="AW45" s="79" t="s">
        <v>781</v>
      </c>
      <c r="AX45" s="90"/>
      <c r="AY45" s="90" t="s">
        <v>1230</v>
      </c>
      <c r="AZ45" s="90"/>
      <c r="BA45" s="90" t="s">
        <v>1217</v>
      </c>
      <c r="BB45" s="91" t="s">
        <v>1243</v>
      </c>
      <c r="BC45" s="91"/>
      <c r="BD45" t="str">
        <f t="shared" si="2"/>
        <v>&lt;a href=https://geodocs.dmirs.wa.gov.au/Web/documentlist/10/Report_Ref/A32419target="_blank"&gt;View Source&lt;/a&gt;</v>
      </c>
      <c r="BE45" t="str">
        <f t="shared" si="5"/>
        <v>&lt;a href=https://minedex.dmirs.wa.gov.au/Web/resource-estimates/details/site/dc2b5a59-36e3-4395-8c4b-df6b334ffa00 target="_blank"&gt;View Source&lt;/a&gt;</v>
      </c>
      <c r="BF45" t="str">
        <f t="shared" si="3"/>
        <v>&lt;a href=https://geodocs.dmirs.wa.gov.au/Web/documentlist/10/Report_Ref/A32419 target="_blank"&gt;View Source&lt;/a&gt;</v>
      </c>
    </row>
    <row r="46" spans="1:58" x14ac:dyDescent="0.25">
      <c r="A46" s="5" t="s">
        <v>684</v>
      </c>
      <c r="B46" s="84" t="s">
        <v>504</v>
      </c>
      <c r="C46" s="5" t="s">
        <v>684</v>
      </c>
      <c r="D46" t="s">
        <v>782</v>
      </c>
      <c r="E46" s="88">
        <v>-33.59500439</v>
      </c>
      <c r="F46" s="88">
        <v>136.88812711</v>
      </c>
      <c r="G46" s="2" t="s">
        <v>45</v>
      </c>
      <c r="H46" s="4" t="s">
        <v>67</v>
      </c>
      <c r="I46" s="78">
        <f t="shared" si="9"/>
        <v>338.1</v>
      </c>
      <c r="J46" s="78">
        <v>163.5</v>
      </c>
      <c r="K46" s="78">
        <f>99+53.3</f>
        <v>152.30000000000001</v>
      </c>
      <c r="L46" s="78">
        <v>22.3</v>
      </c>
      <c r="M46" s="78"/>
      <c r="N46" s="78"/>
      <c r="O46" s="78"/>
      <c r="P46" t="s">
        <v>166</v>
      </c>
      <c r="Q46" s="5" t="s">
        <v>275</v>
      </c>
      <c r="R46" s="5" t="s">
        <v>668</v>
      </c>
      <c r="S46">
        <v>29.6</v>
      </c>
      <c r="T46">
        <v>50.1</v>
      </c>
      <c r="Z46">
        <v>69.7</v>
      </c>
      <c r="AA46">
        <v>2.7</v>
      </c>
      <c r="AF46" s="83">
        <f>AA46+AB46</f>
        <v>2.7</v>
      </c>
      <c r="AG46">
        <v>10</v>
      </c>
      <c r="AH46">
        <v>38</v>
      </c>
      <c r="AI46">
        <v>34.299999999999997</v>
      </c>
      <c r="AJ46" s="5" t="s">
        <v>275</v>
      </c>
      <c r="AK46" t="s">
        <v>148</v>
      </c>
      <c r="AW46" t="s">
        <v>596</v>
      </c>
      <c r="AX46" s="90"/>
      <c r="AY46" s="90" t="s">
        <v>1230</v>
      </c>
      <c r="AZ46" s="90"/>
      <c r="BA46" s="90" t="s">
        <v>1217</v>
      </c>
      <c r="BB46" s="91"/>
      <c r="BC46" s="91" t="s">
        <v>668</v>
      </c>
      <c r="BD46" t="str">
        <f t="shared" si="2"/>
        <v>&lt;a href=https://announcements.asx.com.au/asxpdf/20120525/pdf/426gp0l17x8p6l.pdf target="_blank"&gt;View Source&lt;/a&gt;</v>
      </c>
      <c r="BE46" t="str">
        <f t="shared" si="5"/>
        <v>&lt;a href=https://minerals.sarig.sa.gov.au/MineralDepositDetails.aspx?DEPOSIT_NO=8294&amp;ref=1target="_blank"&gt;View Source&lt;/a&gt;</v>
      </c>
      <c r="BF46" t="str">
        <f t="shared" si="3"/>
        <v>&lt;a href=https://announcements.asx.com.au/asxpdf/20120525/pdf/426gp0l17x8p6l.pdf target="_blank"&gt;View Source&lt;/a&gt;</v>
      </c>
    </row>
    <row r="47" spans="1:58" s="79" customFormat="1" x14ac:dyDescent="0.25">
      <c r="A47" s="6" t="s">
        <v>351</v>
      </c>
      <c r="B47" s="84" t="s">
        <v>154</v>
      </c>
      <c r="C47" s="5" t="s">
        <v>350</v>
      </c>
      <c r="D47" t="s">
        <v>114</v>
      </c>
      <c r="E47" s="88">
        <v>-32.414999999999999</v>
      </c>
      <c r="F47" s="88">
        <v>140.61888888999999</v>
      </c>
      <c r="G47" s="2" t="s">
        <v>45</v>
      </c>
      <c r="H47" s="4" t="s">
        <v>67</v>
      </c>
      <c r="I47" s="78">
        <f t="shared" si="9"/>
        <v>304</v>
      </c>
      <c r="J47" s="78"/>
      <c r="K47" s="78">
        <v>304</v>
      </c>
      <c r="L47" s="78"/>
      <c r="M47" s="78"/>
      <c r="N47" s="78"/>
      <c r="O47" s="78"/>
      <c r="P47" t="s">
        <v>166</v>
      </c>
      <c r="Q47" s="5" t="s">
        <v>548</v>
      </c>
      <c r="R47" s="5" t="s">
        <v>669</v>
      </c>
      <c r="S47">
        <v>24</v>
      </c>
      <c r="T47"/>
      <c r="U47"/>
      <c r="V47"/>
      <c r="W47"/>
      <c r="X47"/>
      <c r="Y47">
        <v>18</v>
      </c>
      <c r="Z47"/>
      <c r="AA47"/>
      <c r="AB47"/>
      <c r="AC47"/>
      <c r="AD47"/>
      <c r="AE47"/>
      <c r="AF47" s="83"/>
      <c r="AG47"/>
      <c r="AH47"/>
      <c r="AI47">
        <v>33</v>
      </c>
      <c r="AJ47"/>
      <c r="AK47" t="s">
        <v>148</v>
      </c>
      <c r="AL47" s="5" t="s">
        <v>549</v>
      </c>
      <c r="AM47" t="s">
        <v>786</v>
      </c>
      <c r="AN47"/>
      <c r="AO47"/>
      <c r="AP47"/>
      <c r="AQ47"/>
      <c r="AR47"/>
      <c r="AS47"/>
      <c r="AT47"/>
      <c r="AU47">
        <v>100</v>
      </c>
      <c r="AV47" s="5" t="s">
        <v>165</v>
      </c>
      <c r="AW47"/>
      <c r="AX47" s="90" t="s">
        <v>1214</v>
      </c>
      <c r="AY47" s="90"/>
      <c r="AZ47" s="90" t="s">
        <v>1214</v>
      </c>
      <c r="BA47" s="90"/>
      <c r="BB47" s="91"/>
      <c r="BC47" s="91" t="s">
        <v>669</v>
      </c>
      <c r="BD47" t="str">
        <f t="shared" si="2"/>
        <v>&lt;a href=https://announcements.asx.com.au/asxpdf/20121205/pdf/42bqznjy47lpjp.pdf target="_blank"&gt;View Source&lt;/a&gt;</v>
      </c>
      <c r="BE47" t="str">
        <f t="shared" si="5"/>
        <v>&lt;a href=https://minerals.sarig.sa.gov.au/MineralDepositDetails.aspx?DEPOSIT_NO=763&amp;ref=1target="_blank"&gt;View Source&lt;/a&gt;</v>
      </c>
      <c r="BF47"/>
    </row>
    <row r="48" spans="1:58" s="79" customFormat="1" ht="15" customHeight="1" x14ac:dyDescent="0.25">
      <c r="A48" s="5" t="s">
        <v>368</v>
      </c>
      <c r="B48" s="99" t="s">
        <v>266</v>
      </c>
      <c r="C48" s="5" t="s">
        <v>367</v>
      </c>
      <c r="D48" t="s">
        <v>783</v>
      </c>
      <c r="E48" s="88">
        <v>-34.461426400000001</v>
      </c>
      <c r="F48" s="88">
        <v>135.79061970000001</v>
      </c>
      <c r="G48" s="2" t="s">
        <v>45</v>
      </c>
      <c r="H48" s="4" t="s">
        <v>67</v>
      </c>
      <c r="I48" s="78">
        <f t="shared" si="9"/>
        <v>289.39999999999998</v>
      </c>
      <c r="J48" s="78"/>
      <c r="K48" s="78">
        <v>289.39999999999998</v>
      </c>
      <c r="L48" s="78"/>
      <c r="M48" s="78"/>
      <c r="N48" s="78"/>
      <c r="O48" s="78"/>
      <c r="P48" t="s">
        <v>156</v>
      </c>
      <c r="Q48" s="5" t="s">
        <v>257</v>
      </c>
      <c r="R48" s="5" t="s">
        <v>670</v>
      </c>
      <c r="S48">
        <v>26.8</v>
      </c>
      <c r="T48">
        <v>51</v>
      </c>
      <c r="U48">
        <v>1.97</v>
      </c>
      <c r="V48"/>
      <c r="W48"/>
      <c r="X48"/>
      <c r="Y48"/>
      <c r="Z48">
        <v>67.400000000000006</v>
      </c>
      <c r="AA48">
        <v>5.2</v>
      </c>
      <c r="AB48">
        <v>0.25</v>
      </c>
      <c r="AC48"/>
      <c r="AD48">
        <v>0.24</v>
      </c>
      <c r="AE48"/>
      <c r="AF48" s="83">
        <f>AA48+AB48</f>
        <v>5.45</v>
      </c>
      <c r="AG48">
        <v>0</v>
      </c>
      <c r="AH48">
        <v>75</v>
      </c>
      <c r="AI48">
        <v>21.9</v>
      </c>
      <c r="AJ48" s="5" t="s">
        <v>256</v>
      </c>
      <c r="AK48" t="s">
        <v>149</v>
      </c>
      <c r="AL48" s="5" t="s">
        <v>452</v>
      </c>
      <c r="AM48" s="92" t="s">
        <v>1170</v>
      </c>
      <c r="AN48"/>
      <c r="AO48"/>
      <c r="AP48"/>
      <c r="AQ48"/>
      <c r="AR48"/>
      <c r="AS48"/>
      <c r="AT48" s="5">
        <v>3</v>
      </c>
      <c r="AU48"/>
      <c r="AV48" s="5" t="s">
        <v>370</v>
      </c>
      <c r="AW48"/>
      <c r="AX48" s="90" t="s">
        <v>1214</v>
      </c>
      <c r="AY48" s="90"/>
      <c r="AZ48" s="90" t="s">
        <v>1214</v>
      </c>
      <c r="BA48" s="90"/>
      <c r="BB48" s="91"/>
      <c r="BC48" s="91" t="s">
        <v>670</v>
      </c>
      <c r="BD48" t="str">
        <f t="shared" si="2"/>
        <v>&lt;a href=https://wcsecure.weblink.com.au/pdf/LML/02787328.pdf target="_blank"&gt;View Source&lt;/a&gt;</v>
      </c>
      <c r="BE48" t="str">
        <f t="shared" si="5"/>
        <v>&lt;a href=https://minerals.sarig.sa.gov.au/MineralDepositDetails.aspx?DEPOSIT_NO=8285&amp;ref=1target="_blank"&gt;View Source&lt;/a&gt;</v>
      </c>
      <c r="BF48" t="str">
        <f t="shared" si="3"/>
        <v>&lt;a href=https://www.energymining.sa.gov.au/industry/geological-survey/gssa-projects/magnetite-south-australiatarget="_blank"&gt;View Source&lt;/a&gt;</v>
      </c>
    </row>
    <row r="49" spans="1:58" x14ac:dyDescent="0.25">
      <c r="A49" s="5" t="s">
        <v>684</v>
      </c>
      <c r="B49" s="84" t="s">
        <v>96</v>
      </c>
      <c r="C49" s="5" t="s">
        <v>684</v>
      </c>
      <c r="D49" t="s">
        <v>784</v>
      </c>
      <c r="E49" s="88">
        <v>-20.873051</v>
      </c>
      <c r="F49" s="88">
        <v>116.525086</v>
      </c>
      <c r="G49" s="2" t="s">
        <v>49</v>
      </c>
      <c r="H49" s="4" t="s">
        <v>67</v>
      </c>
      <c r="I49" s="78">
        <f t="shared" si="9"/>
        <v>286</v>
      </c>
      <c r="J49" s="78"/>
      <c r="K49" s="78">
        <v>286</v>
      </c>
      <c r="L49" s="78"/>
      <c r="M49" s="78"/>
      <c r="N49" s="78"/>
      <c r="O49" s="78"/>
      <c r="P49" t="s">
        <v>166</v>
      </c>
      <c r="Q49" s="5" t="s">
        <v>182</v>
      </c>
      <c r="R49" s="5" t="s">
        <v>224</v>
      </c>
      <c r="S49">
        <v>31.36</v>
      </c>
      <c r="T49">
        <v>43.22</v>
      </c>
      <c r="U49">
        <v>2.64</v>
      </c>
      <c r="V49">
        <v>0.06</v>
      </c>
      <c r="X49">
        <v>0.8</v>
      </c>
      <c r="Y49">
        <v>25</v>
      </c>
      <c r="AF49" s="83"/>
      <c r="AK49" t="s">
        <v>148</v>
      </c>
      <c r="AX49" s="90"/>
      <c r="AY49" s="90" t="s">
        <v>1230</v>
      </c>
      <c r="AZ49" s="90"/>
      <c r="BA49" s="90" t="s">
        <v>1217</v>
      </c>
      <c r="BB49" s="91" t="s">
        <v>1244</v>
      </c>
      <c r="BC49" s="91"/>
      <c r="BD49" t="str">
        <f t="shared" si="2"/>
        <v>&lt;a href=https://announcements.asx.com.au/asxpdf/20120813/pdf/42801b1wchth70.pdf target="_blank"&gt;View Source&lt;/a&gt;</v>
      </c>
      <c r="BE49" t="str">
        <f t="shared" si="5"/>
        <v>&lt;a href=https://minedex.dmirs.wa.gov.au/Web/projects/details/78e96fea-2c7c-4192-bde7-bb614d362f27 target="_blank"&gt;View Source&lt;/a&gt;</v>
      </c>
    </row>
    <row r="50" spans="1:58" x14ac:dyDescent="0.25">
      <c r="A50" s="5" t="s">
        <v>368</v>
      </c>
      <c r="B50" t="s">
        <v>259</v>
      </c>
      <c r="C50" s="5" t="s">
        <v>367</v>
      </c>
      <c r="D50" t="s">
        <v>783</v>
      </c>
      <c r="E50" s="100">
        <v>-34.387188399999999</v>
      </c>
      <c r="F50" s="100">
        <v>135.89200969999999</v>
      </c>
      <c r="G50" s="2" t="s">
        <v>45</v>
      </c>
      <c r="H50" s="4" t="s">
        <v>67</v>
      </c>
      <c r="I50" s="78">
        <f t="shared" si="9"/>
        <v>266.20000000000005</v>
      </c>
      <c r="J50" s="78">
        <v>155.80000000000001</v>
      </c>
      <c r="K50" s="78">
        <v>110.4</v>
      </c>
      <c r="L50" s="78"/>
      <c r="M50" s="78"/>
      <c r="N50" s="78"/>
      <c r="O50" s="78"/>
      <c r="P50" t="s">
        <v>166</v>
      </c>
      <c r="Q50" s="5" t="s">
        <v>257</v>
      </c>
      <c r="R50" s="5" t="s">
        <v>671</v>
      </c>
      <c r="S50">
        <v>24.36</v>
      </c>
      <c r="T50">
        <v>50.55</v>
      </c>
      <c r="U50">
        <v>3.95</v>
      </c>
      <c r="Z50">
        <v>67.56</v>
      </c>
      <c r="AA50">
        <v>4.66</v>
      </c>
      <c r="AB50">
        <v>0.34</v>
      </c>
      <c r="AC50">
        <v>4.1000000000000002E-2</v>
      </c>
      <c r="AD50">
        <v>0.14899999999999999</v>
      </c>
      <c r="AF50" s="83">
        <f>AA50+AB50</f>
        <v>5</v>
      </c>
      <c r="AG50">
        <v>0</v>
      </c>
      <c r="AH50">
        <v>75</v>
      </c>
      <c r="AI50">
        <v>18.47</v>
      </c>
      <c r="AJ50" s="5" t="s">
        <v>269</v>
      </c>
      <c r="AK50" t="s">
        <v>149</v>
      </c>
      <c r="AL50" s="5" t="s">
        <v>452</v>
      </c>
      <c r="AV50" s="5" t="s">
        <v>370</v>
      </c>
      <c r="AX50" s="90" t="s">
        <v>1214</v>
      </c>
      <c r="AY50" s="90"/>
      <c r="AZ50" s="90" t="s">
        <v>1214</v>
      </c>
      <c r="BA50" s="90"/>
      <c r="BB50" s="91"/>
      <c r="BC50" s="91" t="s">
        <v>671</v>
      </c>
      <c r="BD50" t="str">
        <f t="shared" si="2"/>
        <v>&lt;a href=https://wcsecure.weblink.com.au/pdf/LML/02787328.pdf target="_blank"&gt;View Source&lt;/a&gt;</v>
      </c>
      <c r="BE50" t="str">
        <f t="shared" si="5"/>
        <v>&lt;a href=https://minerals.sarig.sa.gov.au/MineralDepositDetails.aspx?DEPOSIT_NO=5006&amp;ref=1target="_blank"&gt;View Source&lt;/a&gt;</v>
      </c>
      <c r="BF50" t="str">
        <f t="shared" si="3"/>
        <v>&lt;a href=https://www.energymining.sa.gov.au/industry/geological-survey/gssa-projects/magnetite-south-australia target="_blank"&gt;View Source&lt;/a&gt;</v>
      </c>
    </row>
    <row r="51" spans="1:58" x14ac:dyDescent="0.25">
      <c r="A51" s="6" t="s">
        <v>374</v>
      </c>
      <c r="B51" t="s">
        <v>62</v>
      </c>
      <c r="C51" s="5" t="s">
        <v>375</v>
      </c>
      <c r="D51" t="s">
        <v>700</v>
      </c>
      <c r="E51" s="88">
        <v>-30.950500000000002</v>
      </c>
      <c r="F51" s="88">
        <v>116.369</v>
      </c>
      <c r="G51" s="2" t="s">
        <v>49</v>
      </c>
      <c r="H51" s="4" t="s">
        <v>67</v>
      </c>
      <c r="I51" s="78">
        <f t="shared" si="9"/>
        <v>246.7</v>
      </c>
      <c r="J51" s="78">
        <v>31</v>
      </c>
      <c r="K51" s="78">
        <v>215.7</v>
      </c>
      <c r="L51" s="78"/>
      <c r="M51" s="78"/>
      <c r="N51" s="78"/>
      <c r="O51" s="78"/>
      <c r="P51" t="s">
        <v>156</v>
      </c>
      <c r="Q51" s="5" t="s">
        <v>232</v>
      </c>
      <c r="R51" s="5" t="s">
        <v>241</v>
      </c>
      <c r="S51">
        <v>29.9</v>
      </c>
      <c r="Z51">
        <v>68.099999999999994</v>
      </c>
      <c r="AA51">
        <v>4.91</v>
      </c>
      <c r="AB51">
        <v>0.28999999999999998</v>
      </c>
      <c r="AC51">
        <v>0.01</v>
      </c>
      <c r="AD51">
        <v>0.37</v>
      </c>
      <c r="AF51" s="83">
        <f>AA51+AB51</f>
        <v>5.2</v>
      </c>
      <c r="AH51">
        <v>106</v>
      </c>
      <c r="AI51">
        <v>32.1</v>
      </c>
      <c r="AJ51" s="5" t="s">
        <v>232</v>
      </c>
      <c r="AK51" t="s">
        <v>148</v>
      </c>
      <c r="AL51" t="s">
        <v>1173</v>
      </c>
      <c r="AM51" t="s">
        <v>1172</v>
      </c>
      <c r="AV51" s="5" t="s">
        <v>231</v>
      </c>
      <c r="AX51" s="90" t="s">
        <v>1214</v>
      </c>
      <c r="AY51" s="90"/>
      <c r="AZ51" s="90" t="s">
        <v>1214</v>
      </c>
      <c r="BA51" s="90"/>
      <c r="BB51" s="91" t="s">
        <v>1245</v>
      </c>
      <c r="BC51" s="91"/>
      <c r="BD51" t="str">
        <f t="shared" si="2"/>
        <v>&lt;a href=https://wcsecure.weblink.com.au/pdf/BUR/02392963.pdf target="_blank"&gt;View Source&lt;/a&gt;</v>
      </c>
      <c r="BE51" t="str">
        <f t="shared" si="5"/>
        <v>&lt;a href=https://minedex.dmirs.wa.gov.au/Web/projects/details/f204f99d-83dd-4115-813f-5a270f994f45 target="_blank"&gt;View Source&lt;/a&gt;</v>
      </c>
      <c r="BF51" t="str">
        <f t="shared" si="3"/>
        <v>&lt;a href=https://wcsecure.weblink.com.au/pdf/BUR/02392963.pdf target="_blank"&gt;View Source&lt;/a&gt;</v>
      </c>
    </row>
    <row r="52" spans="1:58" x14ac:dyDescent="0.25">
      <c r="A52" s="5" t="s">
        <v>368</v>
      </c>
      <c r="B52" t="s">
        <v>258</v>
      </c>
      <c r="C52" s="5" t="s">
        <v>367</v>
      </c>
      <c r="D52" t="s">
        <v>783</v>
      </c>
      <c r="E52" s="100">
        <v>-34.399947400000002</v>
      </c>
      <c r="F52" s="88">
        <v>135.84775669999999</v>
      </c>
      <c r="G52" s="2" t="s">
        <v>45</v>
      </c>
      <c r="H52" s="4" t="s">
        <v>67</v>
      </c>
      <c r="I52" s="78">
        <f t="shared" si="9"/>
        <v>217</v>
      </c>
      <c r="J52" s="78">
        <v>106.6</v>
      </c>
      <c r="K52" s="78">
        <v>99.6</v>
      </c>
      <c r="L52" s="78">
        <v>10.8</v>
      </c>
      <c r="M52" s="78"/>
      <c r="N52" s="78"/>
      <c r="O52" s="78"/>
      <c r="P52" t="s">
        <v>166</v>
      </c>
      <c r="Q52" s="5" t="s">
        <v>257</v>
      </c>
      <c r="R52" s="5" t="s">
        <v>1259</v>
      </c>
      <c r="S52">
        <v>24.3</v>
      </c>
      <c r="T52">
        <v>52.1</v>
      </c>
      <c r="U52">
        <v>3.8</v>
      </c>
      <c r="Z52">
        <v>68.680000000000007</v>
      </c>
      <c r="AA52">
        <v>3.51</v>
      </c>
      <c r="AB52">
        <v>0.28000000000000003</v>
      </c>
      <c r="AC52">
        <v>0.04</v>
      </c>
      <c r="AD52">
        <v>0.17</v>
      </c>
      <c r="AF52" s="83">
        <f>AA52+AB52</f>
        <v>3.79</v>
      </c>
      <c r="AG52">
        <v>0</v>
      </c>
      <c r="AH52">
        <v>75</v>
      </c>
      <c r="AI52">
        <v>20.399999999999999</v>
      </c>
      <c r="AJ52" s="5" t="s">
        <v>269</v>
      </c>
      <c r="AK52" t="s">
        <v>149</v>
      </c>
      <c r="AL52" s="5" t="s">
        <v>452</v>
      </c>
      <c r="AV52" s="5" t="s">
        <v>370</v>
      </c>
      <c r="AX52" s="90" t="s">
        <v>1214</v>
      </c>
      <c r="AY52" s="90"/>
      <c r="AZ52" s="90" t="s">
        <v>1214</v>
      </c>
      <c r="BA52" s="90"/>
      <c r="BB52" s="91"/>
      <c r="BC52" s="91" t="s">
        <v>672</v>
      </c>
      <c r="BD52" t="str">
        <f t="shared" si="2"/>
        <v>&lt;a href=https://wcsecure.weblink.com.au/pdf/LML/02787328.pdf target="_blank"&gt;View Source&lt;/a&gt;</v>
      </c>
      <c r="BE52" t="str">
        <f t="shared" si="5"/>
        <v>&lt;a href=https://minerals.sarig.sa.gov.au/MineralDepositDetails.aspx?DEPOSIT_NO=313&amp;ref=1 target="_blank"&gt;View Source&lt;/a&gt;</v>
      </c>
      <c r="BF52" t="str">
        <f t="shared" si="3"/>
        <v>&lt;a href=https://www.energymining.sa.gov.au/industry/geological-survey/gssa-projects/magnetite-south-australia target="_blank"&gt;View Source&lt;/a&gt;</v>
      </c>
    </row>
    <row r="53" spans="1:58" x14ac:dyDescent="0.25">
      <c r="A53" s="5" t="s">
        <v>510</v>
      </c>
      <c r="B53" s="2" t="s">
        <v>509</v>
      </c>
      <c r="C53" s="5" t="s">
        <v>515</v>
      </c>
      <c r="D53" t="s">
        <v>50</v>
      </c>
      <c r="E53" s="100">
        <v>-28.357099999999999</v>
      </c>
      <c r="F53" s="100">
        <v>118.4011</v>
      </c>
      <c r="G53" s="2" t="s">
        <v>49</v>
      </c>
      <c r="H53" s="4" t="s">
        <v>67</v>
      </c>
      <c r="I53" s="78">
        <f t="shared" si="9"/>
        <v>216</v>
      </c>
      <c r="K53" s="78">
        <v>216</v>
      </c>
      <c r="M53" s="78"/>
      <c r="P53" t="s">
        <v>166</v>
      </c>
      <c r="Q53" s="5" t="s">
        <v>511</v>
      </c>
      <c r="R53" s="5" t="s">
        <v>514</v>
      </c>
      <c r="S53">
        <v>25.4</v>
      </c>
      <c r="T53">
        <v>28.1</v>
      </c>
      <c r="U53">
        <v>14</v>
      </c>
      <c r="V53">
        <v>7.0000000000000001E-3</v>
      </c>
      <c r="Y53">
        <v>20</v>
      </c>
      <c r="Z53">
        <v>60</v>
      </c>
      <c r="AJ53" s="5" t="s">
        <v>512</v>
      </c>
      <c r="AK53" t="s">
        <v>148</v>
      </c>
      <c r="AU53">
        <v>16</v>
      </c>
      <c r="AV53" s="5" t="s">
        <v>512</v>
      </c>
      <c r="AW53" t="s">
        <v>788</v>
      </c>
      <c r="AX53" s="90" t="s">
        <v>1214</v>
      </c>
      <c r="AY53" s="90"/>
      <c r="AZ53" s="90" t="s">
        <v>1214</v>
      </c>
      <c r="BA53" s="90"/>
      <c r="BB53" s="91" t="s">
        <v>1246</v>
      </c>
      <c r="BC53" s="91"/>
      <c r="BD53" t="str">
        <f t="shared" si="2"/>
        <v>&lt;a href=https://announcements.asx.com.au/asxpdf/20110810/pdf/4209rryvyhtp9n.pdf target="_blank"&gt;View Source&lt;/a&gt;</v>
      </c>
      <c r="BE53" t="str">
        <f t="shared" si="5"/>
        <v>&lt;a href=https://minedex.dmirs.wa.gov.au/Web/projects/details/ae681714-3508-490f-b770-0cc6864021c2 target="_blank"&gt;View Source&lt;/a&gt;</v>
      </c>
      <c r="BF53" t="str">
        <f t="shared" si="3"/>
        <v>&lt;a href=https://wcsecure.weblink.com.au/pdf/VKA/02741882.pdf target="_blank"&gt;View Source&lt;/a&gt;</v>
      </c>
    </row>
    <row r="54" spans="1:58" x14ac:dyDescent="0.25">
      <c r="A54" s="6" t="s">
        <v>373</v>
      </c>
      <c r="B54" t="s">
        <v>98</v>
      </c>
      <c r="C54" s="5" t="s">
        <v>372</v>
      </c>
      <c r="D54" t="s">
        <v>129</v>
      </c>
      <c r="E54" s="88">
        <v>-29.375508</v>
      </c>
      <c r="F54" s="88">
        <v>116.379166</v>
      </c>
      <c r="G54" s="2" t="s">
        <v>49</v>
      </c>
      <c r="H54" s="4" t="s">
        <v>67</v>
      </c>
      <c r="I54" s="78">
        <f t="shared" si="9"/>
        <v>191.7</v>
      </c>
      <c r="J54" s="78"/>
      <c r="K54" s="78">
        <v>191.7</v>
      </c>
      <c r="L54" s="78"/>
      <c r="M54" s="78"/>
      <c r="N54" s="78"/>
      <c r="O54" s="78"/>
      <c r="P54" t="s">
        <v>166</v>
      </c>
      <c r="Q54" s="5" t="s">
        <v>229</v>
      </c>
      <c r="R54" s="5" t="s">
        <v>230</v>
      </c>
      <c r="S54">
        <v>36.61</v>
      </c>
      <c r="T54">
        <v>42.18</v>
      </c>
      <c r="U54">
        <v>1.75</v>
      </c>
      <c r="W54">
        <v>7.0000000000000007E-2</v>
      </c>
      <c r="Z54">
        <v>69.62</v>
      </c>
      <c r="AA54">
        <v>2.38</v>
      </c>
      <c r="AB54">
        <v>0.02</v>
      </c>
      <c r="AC54">
        <v>4.0000000000000001E-3</v>
      </c>
      <c r="AD54">
        <v>0.34</v>
      </c>
      <c r="AF54" s="83">
        <f>AA54+AB54</f>
        <v>2.4</v>
      </c>
      <c r="AH54">
        <v>45</v>
      </c>
      <c r="AI54">
        <v>34.6</v>
      </c>
      <c r="AJ54" s="5" t="s">
        <v>228</v>
      </c>
      <c r="AK54" t="s">
        <v>149</v>
      </c>
      <c r="AL54" s="5" t="s">
        <v>553</v>
      </c>
      <c r="AT54">
        <v>2.5</v>
      </c>
      <c r="AV54" s="5"/>
      <c r="AX54" s="90" t="s">
        <v>1214</v>
      </c>
      <c r="AY54" s="90"/>
      <c r="AZ54" s="90" t="s">
        <v>1214</v>
      </c>
      <c r="BA54" s="90"/>
      <c r="BB54" s="91" t="s">
        <v>1247</v>
      </c>
      <c r="BC54" s="91"/>
      <c r="BD54" t="str">
        <f t="shared" si="2"/>
        <v>&lt;a href=https://app.sharelinktechnologies.com/announcement/asx/095fe49b5eb782bb000d365d5b93cd72 target="_blank"&gt;View Source&lt;/a&gt;</v>
      </c>
      <c r="BE54" t="str">
        <f t="shared" si="5"/>
        <v>&lt;a href=https://minedex.dmirs.wa.gov.au/Web/projects/details/a5903260-60bc-42d2-8fc2-10aec8692a73 target="_blank"&gt;View Source&lt;/a&gt;</v>
      </c>
      <c r="BF54" t="str">
        <f t="shared" si="3"/>
        <v>&lt;a href=https://app.sharelinktechnologies.com/announcement/asx/844c0514c9e165316c6f6c34691d4795 target="_blank"&gt;View Source&lt;/a&gt;</v>
      </c>
    </row>
    <row r="55" spans="1:58" x14ac:dyDescent="0.25">
      <c r="A55" s="5" t="s">
        <v>368</v>
      </c>
      <c r="B55" t="s">
        <v>260</v>
      </c>
      <c r="C55" s="5" t="s">
        <v>367</v>
      </c>
      <c r="D55" t="s">
        <v>783</v>
      </c>
      <c r="E55" s="88">
        <v>-34.065281310000003</v>
      </c>
      <c r="F55" s="88">
        <v>136.31973060999999</v>
      </c>
      <c r="G55" s="2" t="s">
        <v>45</v>
      </c>
      <c r="H55" s="4" t="s">
        <v>67</v>
      </c>
      <c r="I55" s="78">
        <f t="shared" si="9"/>
        <v>159.19999999999999</v>
      </c>
      <c r="J55" s="78">
        <v>72.400000000000006</v>
      </c>
      <c r="K55" s="78">
        <v>86.8</v>
      </c>
      <c r="L55" s="78"/>
      <c r="M55" s="78"/>
      <c r="N55" s="78"/>
      <c r="O55" s="78"/>
      <c r="P55" t="s">
        <v>166</v>
      </c>
      <c r="Q55" s="5" t="s">
        <v>369</v>
      </c>
      <c r="R55" s="5" t="s">
        <v>673</v>
      </c>
      <c r="S55">
        <v>27.2</v>
      </c>
      <c r="T55">
        <v>41</v>
      </c>
      <c r="U55">
        <v>0.95</v>
      </c>
      <c r="V55">
        <v>0.27</v>
      </c>
      <c r="W55">
        <v>0.19</v>
      </c>
      <c r="X55">
        <v>1.89</v>
      </c>
      <c r="Z55">
        <v>66.900000000000006</v>
      </c>
      <c r="AA55">
        <v>5.18</v>
      </c>
      <c r="AB55">
        <v>0.37</v>
      </c>
      <c r="AC55">
        <v>1.9E-2</v>
      </c>
      <c r="AD55">
        <v>0.02</v>
      </c>
      <c r="AE55">
        <v>1.1599999999999999</v>
      </c>
      <c r="AF55" s="83">
        <f>AA55+AB55</f>
        <v>5.55</v>
      </c>
      <c r="AG55">
        <v>0</v>
      </c>
      <c r="AH55">
        <v>75</v>
      </c>
      <c r="AI55">
        <v>27.8</v>
      </c>
      <c r="AJ55" s="5" t="s">
        <v>269</v>
      </c>
      <c r="AK55" t="s">
        <v>149</v>
      </c>
      <c r="AL55" s="5" t="s">
        <v>452</v>
      </c>
      <c r="AT55" s="5">
        <v>3</v>
      </c>
      <c r="AV55" s="5" t="s">
        <v>370</v>
      </c>
      <c r="AX55" s="90" t="s">
        <v>1214</v>
      </c>
      <c r="AY55" s="90"/>
      <c r="AZ55" s="90" t="s">
        <v>1214</v>
      </c>
      <c r="BA55" s="90"/>
      <c r="BB55" s="91"/>
      <c r="BC55" s="91" t="s">
        <v>673</v>
      </c>
      <c r="BD55" t="str">
        <f t="shared" si="2"/>
        <v>&lt;a href=https://announcements.asx.com.au/asxpdf/20110601/pdf/41yzhdw81s2j8x.pdf target="_blank"&gt;View Source&lt;/a&gt;</v>
      </c>
      <c r="BE55" t="str">
        <f t="shared" si="5"/>
        <v>&lt;a href=https://minerals.sarig.sa.gov.au/MineralDepositDetails.aspx?DEPOSIT_NO=5008&amp;ref=1target="_blank"&gt;View Source&lt;/a&gt;</v>
      </c>
      <c r="BF55" t="str">
        <f t="shared" si="3"/>
        <v>&lt;a href=https://www.energymining.sa.gov.au/industry/geological-survey/gssa-projects/magnetite-south-australia target="_blank"&gt;View Source&lt;/a&gt;</v>
      </c>
    </row>
    <row r="56" spans="1:58" x14ac:dyDescent="0.25">
      <c r="A56" s="5" t="s">
        <v>684</v>
      </c>
      <c r="B56" s="84" t="s">
        <v>92</v>
      </c>
      <c r="C56" s="5" t="s">
        <v>684</v>
      </c>
      <c r="D56" t="s">
        <v>123</v>
      </c>
      <c r="E56" s="88">
        <v>-32.808999999999997</v>
      </c>
      <c r="F56" s="88">
        <v>136.61099999999999</v>
      </c>
      <c r="G56" s="2" t="s">
        <v>45</v>
      </c>
      <c r="H56" s="4" t="s">
        <v>67</v>
      </c>
      <c r="I56" s="78">
        <f t="shared" si="9"/>
        <v>156.6</v>
      </c>
      <c r="J56" s="78"/>
      <c r="K56" s="78">
        <v>156.6</v>
      </c>
      <c r="L56" s="78"/>
      <c r="M56" s="78"/>
      <c r="N56" s="78"/>
      <c r="O56" s="78"/>
      <c r="Q56" s="5" t="s">
        <v>254</v>
      </c>
      <c r="R56" s="5" t="s">
        <v>674</v>
      </c>
      <c r="S56">
        <v>23.1</v>
      </c>
      <c r="T56">
        <v>50.8</v>
      </c>
      <c r="U56">
        <v>2.25</v>
      </c>
      <c r="V56">
        <v>0.19</v>
      </c>
      <c r="W56">
        <v>0.09</v>
      </c>
      <c r="X56">
        <v>3.74</v>
      </c>
      <c r="Y56">
        <v>0</v>
      </c>
      <c r="AF56" s="83"/>
      <c r="AK56" t="s">
        <v>148</v>
      </c>
      <c r="AV56" s="5" t="s">
        <v>269</v>
      </c>
      <c r="AW56" t="s">
        <v>255</v>
      </c>
      <c r="AX56" s="90"/>
      <c r="AY56" s="90" t="s">
        <v>1230</v>
      </c>
      <c r="AZ56" s="90"/>
      <c r="BA56" s="90" t="s">
        <v>1217</v>
      </c>
      <c r="BB56" s="91"/>
      <c r="BC56" s="91" t="s">
        <v>674</v>
      </c>
      <c r="BD56" t="str">
        <f t="shared" si="2"/>
        <v>&lt;a href=https://www.marketindex.com.au/asx/tyx/announcements/trf-ironclads-resource-update-at-wicherry-hill-and-hercules-XX433757 target="_blank"&gt;View Source&lt;/a&gt;</v>
      </c>
      <c r="BE56" t="str">
        <f t="shared" si="5"/>
        <v>&lt;a href=https://minerals.sarig.sa.gov.au/MineralDepositDetails.aspx?DEPOSIT_NO=6639&amp;ref=1target="_blank"&gt;View Source&lt;/a&gt;</v>
      </c>
    </row>
    <row r="57" spans="1:58" x14ac:dyDescent="0.25">
      <c r="A57" s="6" t="s">
        <v>352</v>
      </c>
      <c r="B57" s="84" t="s">
        <v>116</v>
      </c>
      <c r="C57" s="5" t="s">
        <v>350</v>
      </c>
      <c r="D57" t="s">
        <v>114</v>
      </c>
      <c r="E57" s="88">
        <v>-32.411000000000001</v>
      </c>
      <c r="F57" s="88">
        <v>140.63399999999999</v>
      </c>
      <c r="G57" s="2" t="s">
        <v>45</v>
      </c>
      <c r="H57" s="4" t="s">
        <v>67</v>
      </c>
      <c r="I57" s="78">
        <f t="shared" si="9"/>
        <v>147</v>
      </c>
      <c r="J57" s="78">
        <v>147</v>
      </c>
      <c r="K57" s="78"/>
      <c r="L57" s="78"/>
      <c r="M57" s="78"/>
      <c r="N57" s="78"/>
      <c r="O57" s="78"/>
      <c r="P57" t="s">
        <v>166</v>
      </c>
      <c r="Q57" s="5" t="s">
        <v>353</v>
      </c>
      <c r="R57" s="5" t="s">
        <v>675</v>
      </c>
      <c r="S57">
        <v>30.1</v>
      </c>
      <c r="Y57">
        <v>18</v>
      </c>
      <c r="Z57">
        <v>65.02</v>
      </c>
      <c r="AA57">
        <v>4.42</v>
      </c>
      <c r="AB57">
        <v>0.79</v>
      </c>
      <c r="AC57">
        <v>0.04</v>
      </c>
      <c r="AD57">
        <v>1E-3</v>
      </c>
      <c r="AE57">
        <v>7.0000000000000007E-2</v>
      </c>
      <c r="AF57" s="83">
        <f t="shared" ref="AF57:AF68" si="10">AA57+AB57</f>
        <v>5.21</v>
      </c>
      <c r="AH57">
        <v>106</v>
      </c>
      <c r="AI57">
        <v>40</v>
      </c>
      <c r="AJ57" s="5" t="s">
        <v>355</v>
      </c>
      <c r="AK57" t="s">
        <v>541</v>
      </c>
      <c r="AL57" s="5" t="s">
        <v>546</v>
      </c>
      <c r="AM57" t="s">
        <v>789</v>
      </c>
      <c r="AU57">
        <v>59</v>
      </c>
      <c r="AV57" s="5"/>
      <c r="AW57" s="5" t="s">
        <v>354</v>
      </c>
      <c r="AX57" s="90" t="s">
        <v>1214</v>
      </c>
      <c r="AY57" s="90"/>
      <c r="AZ57" s="90" t="s">
        <v>1214</v>
      </c>
      <c r="BA57" s="90"/>
      <c r="BB57" s="91"/>
      <c r="BC57" s="91" t="s">
        <v>675</v>
      </c>
      <c r="BD57" t="str">
        <f t="shared" si="2"/>
        <v>&lt;a href=https://announcements.asx.com.au/asxpdf/20110610/pdf/41z4w4lt6xc9r3.pdf target="_blank"&gt;View Source&lt;/a&gt;</v>
      </c>
      <c r="BE57" t="str">
        <f t="shared" si="5"/>
        <v>&lt;a href=https://minerals.sarig.sa.gov.au/MineralDepositDetails.aspx?DEPOSIT_NO=773&amp;ref=1target="_blank"&gt;View Source&lt;/a&gt;</v>
      </c>
      <c r="BF57" t="str">
        <f t="shared" si="3"/>
        <v>&lt;a href=https://announcements.asx.com.au/asxpdf/20140901/pdf/42rx9pt84xmqqf.pdf target="_blank"&gt;View Source&lt;/a&gt;</v>
      </c>
    </row>
    <row r="58" spans="1:58" x14ac:dyDescent="0.25">
      <c r="A58" s="5" t="s">
        <v>368</v>
      </c>
      <c r="B58" t="s">
        <v>261</v>
      </c>
      <c r="C58" s="5" t="s">
        <v>367</v>
      </c>
      <c r="D58" t="s">
        <v>783</v>
      </c>
      <c r="E58" s="100">
        <v>-34.321594400000002</v>
      </c>
      <c r="F58" s="100">
        <v>136.04828570000001</v>
      </c>
      <c r="G58" s="2" t="s">
        <v>45</v>
      </c>
      <c r="H58" s="4" t="s">
        <v>67</v>
      </c>
      <c r="I58" s="78">
        <f t="shared" si="9"/>
        <v>135</v>
      </c>
      <c r="J58" s="78"/>
      <c r="K58" s="78">
        <v>135</v>
      </c>
      <c r="L58" s="78"/>
      <c r="M58" s="78"/>
      <c r="N58" s="78"/>
      <c r="O58" s="78"/>
      <c r="P58" t="s">
        <v>166</v>
      </c>
      <c r="Q58" s="5" t="s">
        <v>257</v>
      </c>
      <c r="R58" s="5" t="s">
        <v>676</v>
      </c>
      <c r="S58">
        <v>25.5</v>
      </c>
      <c r="T58">
        <v>36.700000000000003</v>
      </c>
      <c r="U58">
        <v>0.83</v>
      </c>
      <c r="Z58">
        <v>62.1</v>
      </c>
      <c r="AA58">
        <v>9.1</v>
      </c>
      <c r="AB58">
        <v>0.27</v>
      </c>
      <c r="AC58">
        <v>4.3999999999999997E-2</v>
      </c>
      <c r="AD58">
        <v>2.9000000000000001E-2</v>
      </c>
      <c r="AF58" s="83">
        <f t="shared" si="10"/>
        <v>9.3699999999999992</v>
      </c>
      <c r="AG58">
        <v>0</v>
      </c>
      <c r="AH58">
        <v>75</v>
      </c>
      <c r="AI58">
        <v>29.3</v>
      </c>
      <c r="AJ58" s="5" t="s">
        <v>269</v>
      </c>
      <c r="AK58" t="s">
        <v>149</v>
      </c>
      <c r="AL58" s="5" t="s">
        <v>452</v>
      </c>
      <c r="AV58" s="5" t="s">
        <v>370</v>
      </c>
      <c r="AX58" s="90" t="s">
        <v>1214</v>
      </c>
      <c r="AY58" s="90"/>
      <c r="AZ58" s="90" t="s">
        <v>1214</v>
      </c>
      <c r="BA58" s="90"/>
      <c r="BB58" s="91"/>
      <c r="BC58" s="91" t="s">
        <v>676</v>
      </c>
      <c r="BD58" t="str">
        <f t="shared" si="2"/>
        <v>&lt;a href=https://wcsecure.weblink.com.au/pdf/LML/02787328.pdf target="_blank"&gt;View Source&lt;/a&gt;</v>
      </c>
      <c r="BE58" t="str">
        <f t="shared" si="5"/>
        <v>&lt;a href=https://minerals.sarig.sa.gov.au/MineralDepositDetails.aspx?DEPOSIT_NO=8317&amp;ref=1target="_blank"&gt;View Source&lt;/a&gt;</v>
      </c>
      <c r="BF58" t="str">
        <f t="shared" si="3"/>
        <v>&lt;a href=https://www.energymining.sa.gov.au/industry/geological-survey/gssa-projects/magnetite-south-australia target="_blank"&gt;View Source&lt;/a&gt;</v>
      </c>
    </row>
    <row r="59" spans="1:58" x14ac:dyDescent="0.25">
      <c r="A59" s="6" t="s">
        <v>688</v>
      </c>
      <c r="B59" s="84" t="s">
        <v>97</v>
      </c>
      <c r="C59" s="5" t="s">
        <v>371</v>
      </c>
      <c r="D59" t="s">
        <v>130</v>
      </c>
      <c r="E59" s="88">
        <v>-20.925999999999998</v>
      </c>
      <c r="F59" s="88">
        <v>117.179</v>
      </c>
      <c r="G59" s="2" t="s">
        <v>49</v>
      </c>
      <c r="H59" s="4" t="s">
        <v>67</v>
      </c>
      <c r="I59" s="78">
        <f t="shared" si="9"/>
        <v>126</v>
      </c>
      <c r="J59" s="78">
        <f>43+40</f>
        <v>83</v>
      </c>
      <c r="K59" s="78">
        <f>32+11</f>
        <v>43</v>
      </c>
      <c r="L59" s="78"/>
      <c r="M59" s="78"/>
      <c r="N59" s="78"/>
      <c r="O59" s="78"/>
      <c r="P59" t="s">
        <v>156</v>
      </c>
      <c r="Q59" s="5" t="s">
        <v>227</v>
      </c>
      <c r="R59" s="5" t="s">
        <v>226</v>
      </c>
      <c r="S59">
        <v>33.840000000000003</v>
      </c>
      <c r="T59">
        <v>38.630000000000003</v>
      </c>
      <c r="U59">
        <v>2.08</v>
      </c>
      <c r="V59">
        <v>0.04</v>
      </c>
      <c r="X59">
        <v>7.07</v>
      </c>
      <c r="Y59">
        <v>25</v>
      </c>
      <c r="Z59">
        <v>60.54</v>
      </c>
      <c r="AA59">
        <v>12.38</v>
      </c>
      <c r="AB59">
        <v>0.63</v>
      </c>
      <c r="AC59">
        <v>3.2000000000000001E-2</v>
      </c>
      <c r="AE59">
        <v>-0.84</v>
      </c>
      <c r="AF59" s="83">
        <f t="shared" si="10"/>
        <v>13.010000000000002</v>
      </c>
      <c r="AI59">
        <v>23.07</v>
      </c>
      <c r="AJ59" s="5" t="s">
        <v>227</v>
      </c>
      <c r="AK59" t="s">
        <v>541</v>
      </c>
      <c r="AL59" s="5" t="s">
        <v>558</v>
      </c>
      <c r="AM59" t="s">
        <v>790</v>
      </c>
      <c r="AT59">
        <v>5</v>
      </c>
      <c r="AV59" s="5"/>
      <c r="AW59" t="s">
        <v>225</v>
      </c>
      <c r="AX59" s="90" t="s">
        <v>1214</v>
      </c>
      <c r="AY59" s="90"/>
      <c r="AZ59" s="90" t="s">
        <v>1214</v>
      </c>
      <c r="BA59" s="90"/>
      <c r="BB59" s="91" t="s">
        <v>1248</v>
      </c>
      <c r="BC59" s="91"/>
      <c r="BD59" t="str">
        <f t="shared" si="2"/>
        <v>&lt;a href=https://announcements.asx.com.au/asxpdf/20130905/pdf/42j641psjj2wkn.pdf target="_blank"&gt;View Source&lt;/a&gt;</v>
      </c>
      <c r="BE59" t="str">
        <f t="shared" si="5"/>
        <v>&lt;a href=https://minedex.dmirs.wa.gov.au/Web/projects/details/37d7561f-097b-4ebe-aa94-02a5358875a3 target="_blank"&gt;View Source&lt;/a&gt;</v>
      </c>
      <c r="BF59" t="str">
        <f t="shared" si="3"/>
        <v>&lt;a href=https://announcements.asx.com.au/asxpdf/20130905/pdf/42j641psjj2wkn.pdf target="_blank"&gt;View Source&lt;/a&gt;</v>
      </c>
    </row>
    <row r="60" spans="1:58" x14ac:dyDescent="0.25">
      <c r="A60" s="5" t="s">
        <v>519</v>
      </c>
      <c r="B60" s="2" t="s">
        <v>172</v>
      </c>
      <c r="C60" s="6" t="s">
        <v>519</v>
      </c>
      <c r="D60" t="s">
        <v>172</v>
      </c>
      <c r="E60" s="100">
        <v>-29.7683464736518</v>
      </c>
      <c r="F60" s="100">
        <v>119.600969249336</v>
      </c>
      <c r="G60" s="2" t="s">
        <v>49</v>
      </c>
      <c r="H60" s="4" t="s">
        <v>67</v>
      </c>
      <c r="I60" s="78">
        <f t="shared" si="9"/>
        <v>124</v>
      </c>
      <c r="K60" s="78">
        <v>124</v>
      </c>
      <c r="P60" t="s">
        <v>156</v>
      </c>
      <c r="Q60" s="5" t="s">
        <v>520</v>
      </c>
      <c r="R60" s="5" t="s">
        <v>521</v>
      </c>
      <c r="S60">
        <v>25.35</v>
      </c>
      <c r="T60">
        <v>52.85</v>
      </c>
      <c r="U60">
        <v>3.28</v>
      </c>
      <c r="V60">
        <v>0.05</v>
      </c>
      <c r="W60">
        <v>0.56999999999999995</v>
      </c>
      <c r="X60">
        <v>1.54</v>
      </c>
      <c r="Y60">
        <v>20</v>
      </c>
      <c r="Z60">
        <v>70.05</v>
      </c>
      <c r="AA60">
        <v>2.4700000000000002</v>
      </c>
      <c r="AB60">
        <v>9.5000000000000001E-2</v>
      </c>
      <c r="AC60">
        <v>1.2E-2</v>
      </c>
      <c r="AF60" s="83">
        <f t="shared" si="10"/>
        <v>2.5650000000000004</v>
      </c>
      <c r="AH60">
        <v>45</v>
      </c>
      <c r="AI60">
        <v>32.840000000000003</v>
      </c>
      <c r="AJ60" s="5" t="s">
        <v>519</v>
      </c>
      <c r="AK60" t="s">
        <v>149</v>
      </c>
      <c r="AN60" s="5"/>
      <c r="AO60" s="5">
        <v>19.5</v>
      </c>
      <c r="AS60">
        <v>84</v>
      </c>
      <c r="AX60" s="90" t="s">
        <v>1214</v>
      </c>
      <c r="AY60" s="90"/>
      <c r="AZ60" s="90" t="s">
        <v>1214</v>
      </c>
      <c r="BA60" s="90"/>
      <c r="BB60" s="91" t="s">
        <v>1249</v>
      </c>
      <c r="BC60" s="91"/>
      <c r="BD60" t="str">
        <f t="shared" si="2"/>
        <v>&lt;a href=https://speedwaymagnetite.weebly.com/jorc-resource.html target="_blank"&gt;View Source&lt;/a&gt;</v>
      </c>
      <c r="BE60" t="str">
        <f t="shared" si="5"/>
        <v>&lt;a href=https://minedex.dmirs.wa.gov.au/Web/projects/details/38b27c61-cb52-539e-7bf5-6ea5a88b5315 target="_blank"&gt;View Source&lt;/a&gt;</v>
      </c>
      <c r="BF60" t="str">
        <f t="shared" si="3"/>
        <v>&lt;a href=https://speedwaymagnetite.weebly.com/ target="_blank"&gt;View Source&lt;/a&gt;</v>
      </c>
    </row>
    <row r="61" spans="1:58" x14ac:dyDescent="0.25">
      <c r="A61" s="5" t="s">
        <v>684</v>
      </c>
      <c r="B61" s="84" t="s">
        <v>46</v>
      </c>
      <c r="C61" s="5" t="s">
        <v>684</v>
      </c>
      <c r="D61" s="82" t="s">
        <v>287</v>
      </c>
      <c r="E61" s="88">
        <v>-25.788082592599999</v>
      </c>
      <c r="F61" s="88">
        <v>150.85283685499999</v>
      </c>
      <c r="G61" s="2" t="s">
        <v>47</v>
      </c>
      <c r="H61" s="4" t="s">
        <v>67</v>
      </c>
      <c r="I61" s="78">
        <f t="shared" si="9"/>
        <v>103.7</v>
      </c>
      <c r="J61" s="78"/>
      <c r="K61" s="78">
        <v>103.7</v>
      </c>
      <c r="L61" s="78"/>
      <c r="M61" s="78"/>
      <c r="N61" s="78"/>
      <c r="O61" s="78"/>
      <c r="P61" t="s">
        <v>166</v>
      </c>
      <c r="Q61" s="5" t="s">
        <v>286</v>
      </c>
      <c r="R61" s="5" t="s">
        <v>685</v>
      </c>
      <c r="S61">
        <v>13.8</v>
      </c>
      <c r="Y61">
        <v>10</v>
      </c>
      <c r="Z61">
        <v>64.599999999999994</v>
      </c>
      <c r="AA61">
        <v>3.26</v>
      </c>
      <c r="AB61">
        <v>1.96</v>
      </c>
      <c r="AD61">
        <v>0.65</v>
      </c>
      <c r="AF61" s="83">
        <f t="shared" si="10"/>
        <v>5.22</v>
      </c>
      <c r="AI61">
        <v>12.2</v>
      </c>
      <c r="AJ61" s="5" t="s">
        <v>286</v>
      </c>
      <c r="AK61" t="s">
        <v>148</v>
      </c>
      <c r="AN61" s="5"/>
      <c r="AV61" s="5" t="s">
        <v>356</v>
      </c>
      <c r="AX61" s="90"/>
      <c r="AY61" s="90" t="s">
        <v>1230</v>
      </c>
      <c r="AZ61" s="90"/>
      <c r="BA61" s="90" t="s">
        <v>1217</v>
      </c>
      <c r="BB61" s="91"/>
      <c r="BC61" s="91"/>
      <c r="BD61" t="str">
        <f t="shared" si="2"/>
        <v>&lt;a href=https://www.aspecthuntley.com.au/asxdata/20120518/pdf/01298580.pdf target="_blank"&gt;View Source&lt;/a&gt;</v>
      </c>
      <c r="BF61" t="str">
        <f t="shared" si="3"/>
        <v>&lt;a href=https://www.aspecthuntley.com.au/asxdata/20120518/pdf/01298580.pdf target="_blank"&gt;View Source&lt;/a&gt;</v>
      </c>
    </row>
    <row r="62" spans="1:58" x14ac:dyDescent="0.25">
      <c r="A62" s="5" t="s">
        <v>684</v>
      </c>
      <c r="B62" s="84" t="s">
        <v>88</v>
      </c>
      <c r="C62" s="5" t="s">
        <v>349</v>
      </c>
      <c r="D62" t="s">
        <v>118</v>
      </c>
      <c r="E62" s="88">
        <v>-31.268134</v>
      </c>
      <c r="F62" s="88">
        <v>123.876789</v>
      </c>
      <c r="G62" s="2" t="s">
        <v>49</v>
      </c>
      <c r="H62" s="4" t="s">
        <v>67</v>
      </c>
      <c r="I62" s="78">
        <f t="shared" si="9"/>
        <v>103.6</v>
      </c>
      <c r="J62" s="78"/>
      <c r="K62" s="78">
        <v>103.6</v>
      </c>
      <c r="L62" s="78"/>
      <c r="M62" s="78"/>
      <c r="N62" s="78"/>
      <c r="O62" s="78"/>
      <c r="Q62" s="5" t="s">
        <v>213</v>
      </c>
      <c r="R62" s="5" t="s">
        <v>214</v>
      </c>
      <c r="S62">
        <v>26.5</v>
      </c>
      <c r="Y62">
        <v>20</v>
      </c>
      <c r="Z62">
        <v>66.400000000000006</v>
      </c>
      <c r="AA62">
        <v>4.3</v>
      </c>
      <c r="AB62">
        <v>1.8</v>
      </c>
      <c r="AC62">
        <v>0.01</v>
      </c>
      <c r="AE62">
        <v>-3.1</v>
      </c>
      <c r="AF62" s="83">
        <f t="shared" si="10"/>
        <v>6.1</v>
      </c>
      <c r="AH62">
        <v>150</v>
      </c>
      <c r="AI62" s="83">
        <f>+AVERAGE(35.4,19.6,31.1,32.6)</f>
        <v>29.674999999999997</v>
      </c>
      <c r="AJ62" s="5" t="s">
        <v>215</v>
      </c>
      <c r="AK62" t="s">
        <v>148</v>
      </c>
      <c r="AV62" s="5"/>
      <c r="AX62" s="90" t="s">
        <v>1214</v>
      </c>
      <c r="AY62" s="90"/>
      <c r="AZ62" s="90"/>
      <c r="BA62" s="90" t="s">
        <v>1217</v>
      </c>
      <c r="BB62" s="91" t="s">
        <v>1250</v>
      </c>
      <c r="BC62" s="91"/>
      <c r="BD62" t="str">
        <f t="shared" si="2"/>
        <v>&lt;a href=https://app.sharelinktechnologies.com/announcement/asx/23a44d6de85eed8fc12ff6a56a343ef9 target="_blank"&gt;View Source&lt;/a&gt;</v>
      </c>
      <c r="BE62" t="str">
        <f t="shared" si="5"/>
        <v>&lt;a href=https://minedex.dmirs.wa.gov.au/Web/projects/details/204cc9af-ed09-479e-9af7-5e4a046f2941 target="_blank"&gt;View Source&lt;/a&gt;</v>
      </c>
      <c r="BF62" t="str">
        <f t="shared" si="3"/>
        <v>&lt;a href=https://app.sharelinktechnologies.com/announcement/asx/674f0a9efc29d6c5242d795adedaed1c target="_blank"&gt;View Source&lt;/a&gt;</v>
      </c>
    </row>
    <row r="63" spans="1:58" x14ac:dyDescent="0.25">
      <c r="A63" s="5" t="s">
        <v>368</v>
      </c>
      <c r="B63" t="s">
        <v>262</v>
      </c>
      <c r="C63" s="5" t="s">
        <v>367</v>
      </c>
      <c r="D63" t="s">
        <v>783</v>
      </c>
      <c r="E63" s="100">
        <v>-34.7064284</v>
      </c>
      <c r="F63" s="100">
        <v>135.69374769999999</v>
      </c>
      <c r="G63" s="2" t="s">
        <v>45</v>
      </c>
      <c r="H63" s="4" t="s">
        <v>67</v>
      </c>
      <c r="I63" s="78">
        <f t="shared" si="9"/>
        <v>101.2</v>
      </c>
      <c r="J63" s="78">
        <v>12.3</v>
      </c>
      <c r="K63" s="78">
        <v>88.9</v>
      </c>
      <c r="L63" s="78"/>
      <c r="M63" s="78"/>
      <c r="N63" s="78"/>
      <c r="O63" s="78"/>
      <c r="P63" t="s">
        <v>166</v>
      </c>
      <c r="Q63" s="5" t="s">
        <v>257</v>
      </c>
      <c r="R63" s="5" t="s">
        <v>677</v>
      </c>
      <c r="S63" s="89">
        <v>23.876778656126483</v>
      </c>
      <c r="T63" s="89">
        <v>43.73537549407115</v>
      </c>
      <c r="U63" s="89">
        <v>1.1159683794466404</v>
      </c>
      <c r="Z63" s="89">
        <v>66.097233201581034</v>
      </c>
      <c r="AA63" s="89">
        <v>4.924308300395257</v>
      </c>
      <c r="AB63" s="89">
        <v>0.52392292490118575</v>
      </c>
      <c r="AC63" s="89">
        <v>1.0000000000000002E-2</v>
      </c>
      <c r="AD63" s="89">
        <v>0.10878458498023716</v>
      </c>
      <c r="AF63" s="83">
        <f t="shared" si="10"/>
        <v>5.4482312252964427</v>
      </c>
      <c r="AG63">
        <v>0</v>
      </c>
      <c r="AH63">
        <v>75</v>
      </c>
      <c r="AI63">
        <v>17.71</v>
      </c>
      <c r="AJ63" s="5" t="s">
        <v>269</v>
      </c>
      <c r="AK63" t="s">
        <v>149</v>
      </c>
      <c r="AL63" s="5" t="s">
        <v>452</v>
      </c>
      <c r="AV63" s="5" t="s">
        <v>274</v>
      </c>
      <c r="AX63" s="90" t="s">
        <v>1214</v>
      </c>
      <c r="AY63" s="90"/>
      <c r="AZ63" s="90" t="s">
        <v>1214</v>
      </c>
      <c r="BA63" s="90"/>
      <c r="BB63" s="91"/>
      <c r="BC63" s="91" t="s">
        <v>677</v>
      </c>
      <c r="BD63" t="str">
        <f t="shared" si="2"/>
        <v>&lt;a href=https://wcsecure.weblink.com.au/pdf/LML/02787328.pdf target="_blank"&gt;View Source&lt;/a&gt;</v>
      </c>
      <c r="BE63" t="str">
        <f t="shared" si="5"/>
        <v>&lt;a href=https://minerals.sarig.sa.gov.au/MineralDepositDetails.aspx?DEPOSIT_NO=9320&amp;ref=1target="_blank"&gt;View Source&lt;/a&gt;</v>
      </c>
      <c r="BF63" t="str">
        <f t="shared" si="3"/>
        <v>&lt;a href=https://www.energymining.sa.gov.au/industry/geological-survey/gssa-projects/magnetite-south-australia target="_blank"&gt;View Source&lt;/a&gt;</v>
      </c>
    </row>
    <row r="64" spans="1:58" x14ac:dyDescent="0.25">
      <c r="A64" s="5" t="s">
        <v>684</v>
      </c>
      <c r="B64" s="84" t="s">
        <v>270</v>
      </c>
      <c r="C64" s="5" t="s">
        <v>389</v>
      </c>
      <c r="D64" t="s">
        <v>551</v>
      </c>
      <c r="E64" s="88">
        <v>-29.882783825800001</v>
      </c>
      <c r="F64" s="88">
        <v>134.2841356019</v>
      </c>
      <c r="G64" s="2" t="s">
        <v>45</v>
      </c>
      <c r="H64" s="4" t="s">
        <v>67</v>
      </c>
      <c r="I64" s="78">
        <f t="shared" si="9"/>
        <v>72</v>
      </c>
      <c r="J64" s="78"/>
      <c r="K64" s="78">
        <v>72</v>
      </c>
      <c r="L64" s="78"/>
      <c r="M64" s="78"/>
      <c r="N64" s="78"/>
      <c r="O64" s="78"/>
      <c r="Q64" s="5" t="s">
        <v>271</v>
      </c>
      <c r="R64" s="5" t="s">
        <v>678</v>
      </c>
      <c r="S64">
        <v>25.9</v>
      </c>
      <c r="T64">
        <v>46.6</v>
      </c>
      <c r="U64">
        <v>6.1</v>
      </c>
      <c r="V64">
        <v>0.06</v>
      </c>
      <c r="W64">
        <v>0.1</v>
      </c>
      <c r="X64">
        <v>1.3</v>
      </c>
      <c r="Y64">
        <v>15</v>
      </c>
      <c r="Z64">
        <v>67.3</v>
      </c>
      <c r="AA64">
        <v>3.5</v>
      </c>
      <c r="AB64">
        <v>0.7</v>
      </c>
      <c r="AF64" s="83">
        <f t="shared" si="10"/>
        <v>4.2</v>
      </c>
      <c r="AH64">
        <v>125</v>
      </c>
      <c r="AI64">
        <v>32.5</v>
      </c>
      <c r="AJ64" s="5" t="s">
        <v>271</v>
      </c>
      <c r="AK64" t="s">
        <v>149</v>
      </c>
      <c r="AL64" s="5" t="s">
        <v>271</v>
      </c>
      <c r="AU64">
        <v>11.1</v>
      </c>
      <c r="AX64" s="90" t="s">
        <v>1214</v>
      </c>
      <c r="AY64" s="90"/>
      <c r="AZ64" s="90"/>
      <c r="BA64" s="90" t="s">
        <v>1217</v>
      </c>
      <c r="BB64" s="91"/>
      <c r="BC64" s="91" t="s">
        <v>678</v>
      </c>
      <c r="BD64" t="str">
        <f t="shared" si="2"/>
        <v>&lt;a href=https://invest.sa.gov.au/projects/commonwealth-hill-magnetite-project target="_blank"&gt;View Source&lt;/a&gt;</v>
      </c>
      <c r="BE64" t="str">
        <f t="shared" si="5"/>
        <v>&lt;a href=https://minerals.sarig.sa.gov.au/MineralDepositDetails.aspx?DEPOSIT_NO=3012&amp;ref=1target="_blank"&gt;View Source&lt;/a&gt;</v>
      </c>
      <c r="BF64" t="str">
        <f t="shared" si="3"/>
        <v>&lt;a href=https://invest.sa.gov.au/projects/commonwealth-hill-magnetite-project target="_blank"&gt;View Source&lt;/a&gt;</v>
      </c>
    </row>
    <row r="65" spans="1:58" x14ac:dyDescent="0.25">
      <c r="A65" s="5" t="s">
        <v>684</v>
      </c>
      <c r="B65" s="84" t="s">
        <v>534</v>
      </c>
      <c r="C65" s="6" t="s">
        <v>532</v>
      </c>
      <c r="D65" t="s">
        <v>533</v>
      </c>
      <c r="E65" s="88">
        <v>-32.750999999999998</v>
      </c>
      <c r="F65" s="88">
        <v>136.43600000000001</v>
      </c>
      <c r="G65" s="2" t="s">
        <v>45</v>
      </c>
      <c r="H65" s="4" t="s">
        <v>67</v>
      </c>
      <c r="I65" s="78">
        <f t="shared" si="9"/>
        <v>69.400000000000006</v>
      </c>
      <c r="J65" s="78">
        <v>48.2</v>
      </c>
      <c r="K65" s="78">
        <v>21.2</v>
      </c>
      <c r="L65" s="78"/>
      <c r="M65" s="78"/>
      <c r="N65" s="78"/>
      <c r="O65" s="78"/>
      <c r="Q65" s="5" t="s">
        <v>252</v>
      </c>
      <c r="R65" s="5" t="s">
        <v>679</v>
      </c>
      <c r="S65">
        <v>25.9</v>
      </c>
      <c r="T65">
        <v>32.5</v>
      </c>
      <c r="U65">
        <v>8.8000000000000007</v>
      </c>
      <c r="V65">
        <v>7.0000000000000007E-2</v>
      </c>
      <c r="X65">
        <v>7.3</v>
      </c>
      <c r="Z65">
        <v>59.4</v>
      </c>
      <c r="AA65">
        <v>6.4</v>
      </c>
      <c r="AB65">
        <v>2</v>
      </c>
      <c r="AC65">
        <v>1.4999999999999999E-2</v>
      </c>
      <c r="AD65">
        <v>0.18</v>
      </c>
      <c r="AE65">
        <v>1.95</v>
      </c>
      <c r="AF65" s="83">
        <f t="shared" si="10"/>
        <v>8.4</v>
      </c>
      <c r="AG65">
        <v>55</v>
      </c>
      <c r="AJ65" s="5" t="s">
        <v>536</v>
      </c>
      <c r="AK65" t="s">
        <v>541</v>
      </c>
      <c r="AL65" s="5" t="s">
        <v>535</v>
      </c>
      <c r="AM65" s="88" t="s">
        <v>791</v>
      </c>
      <c r="AU65">
        <v>1.1499999999999999</v>
      </c>
      <c r="AV65" s="5" t="s">
        <v>537</v>
      </c>
      <c r="AW65" t="s">
        <v>538</v>
      </c>
      <c r="AX65" s="90" t="s">
        <v>1214</v>
      </c>
      <c r="AY65" s="90"/>
      <c r="AZ65" s="90"/>
      <c r="BA65" s="90" t="s">
        <v>1217</v>
      </c>
      <c r="BB65" s="91"/>
      <c r="BC65" s="91" t="s">
        <v>679</v>
      </c>
      <c r="BD65" t="str">
        <f t="shared" si="2"/>
        <v>&lt;a href=https://hotcopper.com.au/data/oldanns/2010/IFE/af96ef73-3443-446d-8259-4e5aa558a1c0-IFE504513.pdf target="_blank"&gt;View Source&lt;/a&gt;</v>
      </c>
      <c r="BE65" t="str">
        <f t="shared" si="5"/>
        <v>&lt;a href=https://minerals.sarig.sa.gov.au/MineralDepositDetails.aspx?DEPOSIT_NO=9044&amp;ref=1target="_blank"&gt;View Source&lt;/a&gt;</v>
      </c>
      <c r="BF65" t="str">
        <f t="shared" si="3"/>
        <v>&lt;a href=https://www.aspecthuntley.com.au/asxdata/20201119/pdf/02310800.pdf target="_blank"&gt;View Source&lt;/a&gt;</v>
      </c>
    </row>
    <row r="66" spans="1:58" x14ac:dyDescent="0.25">
      <c r="A66" s="5" t="s">
        <v>368</v>
      </c>
      <c r="B66" t="s">
        <v>263</v>
      </c>
      <c r="C66" s="5" t="s">
        <v>367</v>
      </c>
      <c r="D66" t="s">
        <v>783</v>
      </c>
      <c r="E66" s="100">
        <v>-34.376782400000003</v>
      </c>
      <c r="F66" s="100">
        <v>135.91506570000001</v>
      </c>
      <c r="G66" s="2" t="s">
        <v>45</v>
      </c>
      <c r="H66" s="4" t="s">
        <v>67</v>
      </c>
      <c r="I66" s="78">
        <f t="shared" ref="I66:I85" si="11">J66+K66+L66</f>
        <v>61.8</v>
      </c>
      <c r="J66" s="78">
        <v>38.5</v>
      </c>
      <c r="K66" s="78">
        <v>23.3</v>
      </c>
      <c r="L66" s="78"/>
      <c r="M66" s="78"/>
      <c r="N66" s="78"/>
      <c r="O66" s="78"/>
      <c r="P66" t="s">
        <v>166</v>
      </c>
      <c r="Q66" s="5" t="s">
        <v>257</v>
      </c>
      <c r="R66" s="5" t="s">
        <v>680</v>
      </c>
      <c r="S66">
        <v>29.68</v>
      </c>
      <c r="T66">
        <v>43.33</v>
      </c>
      <c r="U66">
        <v>1.89</v>
      </c>
      <c r="Z66">
        <v>69.58</v>
      </c>
      <c r="AA66">
        <v>2.59</v>
      </c>
      <c r="AB66">
        <v>0.19</v>
      </c>
      <c r="AC66">
        <v>1.2E-2</v>
      </c>
      <c r="AD66">
        <v>3.4000000000000002E-2</v>
      </c>
      <c r="AF66" s="83">
        <f t="shared" si="10"/>
        <v>2.78</v>
      </c>
      <c r="AG66">
        <v>0</v>
      </c>
      <c r="AH66">
        <v>75</v>
      </c>
      <c r="AI66">
        <v>34.25</v>
      </c>
      <c r="AJ66" s="5" t="s">
        <v>269</v>
      </c>
      <c r="AK66" t="s">
        <v>149</v>
      </c>
      <c r="AL66" s="5" t="s">
        <v>452</v>
      </c>
      <c r="AV66" s="5" t="s">
        <v>370</v>
      </c>
      <c r="AX66" s="90" t="s">
        <v>1214</v>
      </c>
      <c r="AY66" s="90"/>
      <c r="AZ66" s="90" t="s">
        <v>1214</v>
      </c>
      <c r="BA66" s="90"/>
      <c r="BB66" s="91"/>
      <c r="BC66" s="91" t="s">
        <v>680</v>
      </c>
      <c r="BD66" t="str">
        <f t="shared" si="2"/>
        <v>&lt;a href=https://wcsecure.weblink.com.au/pdf/LML/02787328.pdf target="_blank"&gt;View Source&lt;/a&gt;</v>
      </c>
      <c r="BE66" t="str">
        <f t="shared" si="5"/>
        <v>&lt;a href=https://minerals.sarig.sa.gov.au/MineralDepositDetails.aspx?DEPOSIT_NO=9495&amp;ref=1target="_blank"&gt;View Source&lt;/a&gt;</v>
      </c>
      <c r="BF66" t="str">
        <f t="shared" si="3"/>
        <v>&lt;a href=https://www.energymining.sa.gov.au/industry/geological-survey/gssa-projects/magnetite-south-australia target="_blank"&gt;View Source&lt;/a&gt;</v>
      </c>
    </row>
    <row r="67" spans="1:58" x14ac:dyDescent="0.25">
      <c r="A67" s="5" t="s">
        <v>684</v>
      </c>
      <c r="B67" s="84" t="s">
        <v>152</v>
      </c>
      <c r="C67" s="5" t="s">
        <v>684</v>
      </c>
      <c r="D67" t="s">
        <v>785</v>
      </c>
      <c r="E67" s="88">
        <v>-34.595728354800002</v>
      </c>
      <c r="F67" s="88">
        <v>135.77138324769999</v>
      </c>
      <c r="G67" s="2" t="s">
        <v>45</v>
      </c>
      <c r="H67" s="4" t="s">
        <v>67</v>
      </c>
      <c r="I67" s="78">
        <f t="shared" si="11"/>
        <v>54.8</v>
      </c>
      <c r="J67" s="78"/>
      <c r="K67" s="78">
        <v>54.8</v>
      </c>
      <c r="L67" s="78"/>
      <c r="M67" s="78"/>
      <c r="N67" s="78"/>
      <c r="O67" s="78"/>
      <c r="P67" t="s">
        <v>166</v>
      </c>
      <c r="Q67" s="5" t="s">
        <v>390</v>
      </c>
      <c r="R67" s="5" t="s">
        <v>681</v>
      </c>
      <c r="S67">
        <v>24.9</v>
      </c>
      <c r="T67">
        <v>33.799999999999997</v>
      </c>
      <c r="Z67">
        <v>68.3</v>
      </c>
      <c r="AA67">
        <v>2.97</v>
      </c>
      <c r="AF67" s="83">
        <f t="shared" si="10"/>
        <v>2.97</v>
      </c>
      <c r="AH67">
        <v>75</v>
      </c>
      <c r="AI67">
        <v>26.8</v>
      </c>
      <c r="AJ67" s="5" t="s">
        <v>390</v>
      </c>
      <c r="AK67" t="s">
        <v>148</v>
      </c>
      <c r="AX67" s="90"/>
      <c r="AY67" s="90" t="s">
        <v>1230</v>
      </c>
      <c r="AZ67" s="90"/>
      <c r="BA67" s="90" t="s">
        <v>1217</v>
      </c>
      <c r="BB67" s="91"/>
      <c r="BC67" s="91" t="s">
        <v>681</v>
      </c>
      <c r="BD67" t="str">
        <f t="shared" ref="BD67:BD85" si="12">"&lt;a href="&amp;Q67&amp;"target=""_blank""&gt;View Source&lt;/a&gt;"</f>
        <v>&lt;a href=https://www.aspecthuntley.com.au/asxdata/20120112/pdf/01259324.pdf target="_blank"&gt;View Source&lt;/a&gt;</v>
      </c>
      <c r="BE67" t="str">
        <f t="shared" si="5"/>
        <v>&lt;a href=https://minerals.sarig.sa.gov.au/MineralDepositDetails.aspx?DEPOSIT_NO=249&amp;ref=1target="_blank"&gt;View Source&lt;/a&gt;</v>
      </c>
      <c r="BF67" t="str">
        <f t="shared" ref="BF67:BF83" si="13">"&lt;a href="&amp;AJ67&amp;"target=""_blank""&gt;View Source&lt;/a&gt;"</f>
        <v>&lt;a href=https://www.aspecthuntley.com.au/asxdata/20120112/pdf/01259324.pdf target="_blank"&gt;View Source&lt;/a&gt;</v>
      </c>
    </row>
    <row r="68" spans="1:58" x14ac:dyDescent="0.25">
      <c r="A68" s="5" t="s">
        <v>684</v>
      </c>
      <c r="B68" s="84" t="s">
        <v>413</v>
      </c>
      <c r="C68" s="5" t="s">
        <v>684</v>
      </c>
      <c r="D68" t="s">
        <v>388</v>
      </c>
      <c r="E68" s="88">
        <v>-31.898184000000001</v>
      </c>
      <c r="F68" s="88">
        <v>118.37614600000001</v>
      </c>
      <c r="G68" s="2" t="s">
        <v>49</v>
      </c>
      <c r="H68" s="4" t="s">
        <v>67</v>
      </c>
      <c r="I68" s="78">
        <f t="shared" si="11"/>
        <v>53.6</v>
      </c>
      <c r="J68" s="78"/>
      <c r="K68" s="78">
        <v>53.6</v>
      </c>
      <c r="L68" s="78"/>
      <c r="M68" s="78"/>
      <c r="N68" s="78"/>
      <c r="O68" s="78"/>
      <c r="Q68" s="5" t="s">
        <v>234</v>
      </c>
      <c r="R68" s="5" t="s">
        <v>235</v>
      </c>
      <c r="S68">
        <v>29.1</v>
      </c>
      <c r="Z68">
        <v>65.22</v>
      </c>
      <c r="AA68">
        <v>5.24</v>
      </c>
      <c r="AB68">
        <v>1.87</v>
      </c>
      <c r="AC68">
        <v>6.0000000000000001E-3</v>
      </c>
      <c r="AD68">
        <v>0.59</v>
      </c>
      <c r="AF68" s="83">
        <f t="shared" si="10"/>
        <v>7.11</v>
      </c>
      <c r="AG68">
        <v>15</v>
      </c>
      <c r="AH68">
        <v>45</v>
      </c>
      <c r="AI68">
        <v>25.3</v>
      </c>
      <c r="AJ68" s="5" t="s">
        <v>234</v>
      </c>
      <c r="AK68" t="s">
        <v>148</v>
      </c>
      <c r="AV68" s="5" t="s">
        <v>236</v>
      </c>
      <c r="AW68" t="s">
        <v>414</v>
      </c>
      <c r="AX68" s="90"/>
      <c r="AY68" s="90" t="s">
        <v>1230</v>
      </c>
      <c r="AZ68" s="90"/>
      <c r="BA68" s="90" t="s">
        <v>1217</v>
      </c>
      <c r="BB68" s="91" t="s">
        <v>1251</v>
      </c>
      <c r="BC68" s="91"/>
      <c r="BD68" t="str">
        <f t="shared" si="12"/>
        <v>&lt;a href=https://cdn-api.markitdigital.com/apiman-gateway/ASX/asx-research/1.0/file/2995-01345668-3A380774&amp;v=04711220c3a57065317ba4efca4a3459a4e46882 target="_blank"&gt;View Source&lt;/a&gt;</v>
      </c>
      <c r="BE68" t="str">
        <f t="shared" ref="BE68:BE85" si="14">"&lt;a href="&amp;R68&amp;"target=""_blank""&gt;View Source&lt;/a&gt;"</f>
        <v>&lt;a href=https://minedex.dmirs.wa.gov.au/Web/owners/details/1abe5e0c-3aa3-4418-897e-06532803d6b4 target="_blank"&gt;View Source&lt;/a&gt;</v>
      </c>
      <c r="BF68" t="str">
        <f t="shared" si="13"/>
        <v>&lt;a href=https://cdn-api.markitdigital.com/apiman-gateway/ASX/asx-research/1.0/file/2995-01345668-3A380774&amp;v=04711220c3a57065317ba4efca4a3459a4e46882 target="_blank"&gt;View Source&lt;/a&gt;</v>
      </c>
    </row>
    <row r="69" spans="1:58" x14ac:dyDescent="0.25">
      <c r="A69" s="5" t="s">
        <v>684</v>
      </c>
      <c r="B69" s="84" t="s">
        <v>104</v>
      </c>
      <c r="C69" s="5" t="s">
        <v>684</v>
      </c>
      <c r="D69" t="s">
        <v>115</v>
      </c>
      <c r="E69" s="88">
        <v>-29.162934784800001</v>
      </c>
      <c r="F69" s="88">
        <v>116.834800625</v>
      </c>
      <c r="G69" s="2" t="s">
        <v>49</v>
      </c>
      <c r="H69" s="4" t="s">
        <v>67</v>
      </c>
      <c r="I69" s="78">
        <f t="shared" si="11"/>
        <v>45.5</v>
      </c>
      <c r="J69" s="78"/>
      <c r="K69" s="78">
        <v>45.5</v>
      </c>
      <c r="L69" s="78"/>
      <c r="M69" s="78"/>
      <c r="N69" s="78"/>
      <c r="O69" s="78"/>
      <c r="P69" t="s">
        <v>166</v>
      </c>
      <c r="Q69" s="5" t="s">
        <v>243</v>
      </c>
      <c r="R69" s="5" t="s">
        <v>244</v>
      </c>
      <c r="S69">
        <v>41.4</v>
      </c>
      <c r="T69">
        <v>35.6</v>
      </c>
      <c r="U69">
        <v>0.5</v>
      </c>
      <c r="V69">
        <v>0.09</v>
      </c>
      <c r="W69">
        <v>0.03</v>
      </c>
      <c r="X69">
        <v>-0.1</v>
      </c>
      <c r="AF69" s="83"/>
      <c r="AK69" t="s">
        <v>148</v>
      </c>
      <c r="AL69" s="5" t="s">
        <v>562</v>
      </c>
      <c r="AM69" t="s">
        <v>792</v>
      </c>
      <c r="AX69" s="90"/>
      <c r="AY69" s="90" t="s">
        <v>1230</v>
      </c>
      <c r="AZ69" s="90"/>
      <c r="BA69" s="90" t="s">
        <v>1217</v>
      </c>
      <c r="BB69" s="91" t="s">
        <v>1252</v>
      </c>
      <c r="BC69" s="91"/>
      <c r="BD69" t="str">
        <f t="shared" si="12"/>
        <v>&lt;a href=https://announcements.asx.com.au/asxpdf/20131011/pdf/42jzhm5mf7qssv.pdf target="_blank"&gt;View Source&lt;/a&gt;</v>
      </c>
      <c r="BE69" t="str">
        <f t="shared" si="14"/>
        <v>&lt;a href=https://minedex.dmirs.wa.gov.au/Web/sites/details/f92b2ef4-e5c3-434f-83c7-9b0ed8222e0d target="_blank"&gt;View Source&lt;/a&gt;</v>
      </c>
    </row>
    <row r="70" spans="1:58" x14ac:dyDescent="0.25">
      <c r="A70" s="6" t="s">
        <v>392</v>
      </c>
      <c r="B70" t="s">
        <v>103</v>
      </c>
      <c r="C70" s="5" t="s">
        <v>392</v>
      </c>
      <c r="D70" t="s">
        <v>112</v>
      </c>
      <c r="E70" s="88">
        <v>-41.309995568300003</v>
      </c>
      <c r="F70" s="88">
        <v>145.7720113279</v>
      </c>
      <c r="G70" s="2" t="s">
        <v>48</v>
      </c>
      <c r="H70" s="4" t="s">
        <v>21</v>
      </c>
      <c r="I70" s="78">
        <f t="shared" si="11"/>
        <v>34.65</v>
      </c>
      <c r="J70" s="78">
        <v>9.43</v>
      </c>
      <c r="K70" s="78">
        <v>12.57</v>
      </c>
      <c r="L70" s="78">
        <v>12.65</v>
      </c>
      <c r="M70" s="78"/>
      <c r="N70" s="78"/>
      <c r="O70" s="78"/>
      <c r="Q70" s="5" t="s">
        <v>281</v>
      </c>
      <c r="R70" s="5" t="s">
        <v>685</v>
      </c>
      <c r="S70">
        <v>48.5</v>
      </c>
      <c r="AF70" s="83"/>
      <c r="AK70" t="s">
        <v>21</v>
      </c>
      <c r="AX70" s="90" t="s">
        <v>1214</v>
      </c>
      <c r="AY70" s="90"/>
      <c r="AZ70" s="90" t="s">
        <v>1214</v>
      </c>
      <c r="BA70" s="90"/>
      <c r="BB70" s="91"/>
      <c r="BC70" s="91"/>
      <c r="BD70" t="str">
        <f t="shared" si="12"/>
        <v>&lt;a href=https://announcements.asx.com.au/asxpdf/20170216/pdf/43g1pc59hpj6p9.pdf target="_blank"&gt;View Source&lt;/a&gt;</v>
      </c>
    </row>
    <row r="71" spans="1:58" ht="15.75" customHeight="1" x14ac:dyDescent="0.25">
      <c r="A71" s="6" t="s">
        <v>361</v>
      </c>
      <c r="B71" t="s">
        <v>1164</v>
      </c>
      <c r="C71" s="5" t="s">
        <v>360</v>
      </c>
      <c r="D71" t="s">
        <v>119</v>
      </c>
      <c r="E71" s="88">
        <v>-26.127354</v>
      </c>
      <c r="F71" s="88">
        <v>116.31100000000001</v>
      </c>
      <c r="G71" s="2" t="s">
        <v>49</v>
      </c>
      <c r="H71" s="4" t="s">
        <v>67</v>
      </c>
      <c r="I71" s="78">
        <f t="shared" si="11"/>
        <v>76.3</v>
      </c>
      <c r="J71" s="78">
        <v>24</v>
      </c>
      <c r="K71" s="78">
        <v>52.3</v>
      </c>
      <c r="L71" s="78"/>
      <c r="M71" s="78"/>
      <c r="N71" s="78"/>
      <c r="O71" s="78"/>
      <c r="P71" t="s">
        <v>156</v>
      </c>
      <c r="Q71" s="5" t="s">
        <v>1165</v>
      </c>
      <c r="R71" s="5" t="s">
        <v>242</v>
      </c>
      <c r="S71">
        <v>24.7</v>
      </c>
      <c r="T71">
        <v>49.6</v>
      </c>
      <c r="U71">
        <v>5.68</v>
      </c>
      <c r="V71">
        <v>5.0999999999999997E-2</v>
      </c>
      <c r="W71">
        <v>0.08</v>
      </c>
      <c r="X71">
        <v>-4.3999999999999997E-2</v>
      </c>
      <c r="Y71">
        <v>10</v>
      </c>
      <c r="Z71">
        <v>70</v>
      </c>
      <c r="AA71">
        <v>1.78</v>
      </c>
      <c r="AB71">
        <v>0.39</v>
      </c>
      <c r="AC71">
        <v>2E-3</v>
      </c>
      <c r="AD71">
        <v>3.4000000000000002E-2</v>
      </c>
      <c r="AF71" s="83">
        <f>AA71+AB71</f>
        <v>2.17</v>
      </c>
      <c r="AH71">
        <v>150</v>
      </c>
      <c r="AJ71" s="5" t="s">
        <v>1166</v>
      </c>
      <c r="AK71" t="s">
        <v>524</v>
      </c>
      <c r="AL71" s="5" t="s">
        <v>567</v>
      </c>
      <c r="AM71" s="92" t="s">
        <v>793</v>
      </c>
      <c r="AN71" s="5">
        <v>2024</v>
      </c>
      <c r="AO71">
        <v>111</v>
      </c>
      <c r="AP71">
        <v>194</v>
      </c>
      <c r="AQ71">
        <v>32</v>
      </c>
      <c r="AR71">
        <f>63.28+55.35</f>
        <v>118.63</v>
      </c>
      <c r="AS71">
        <v>194.37</v>
      </c>
      <c r="AT71">
        <v>2.4</v>
      </c>
      <c r="AU71">
        <v>17</v>
      </c>
      <c r="AV71" s="5" t="s">
        <v>568</v>
      </c>
      <c r="AX71" s="90" t="s">
        <v>1214</v>
      </c>
      <c r="AY71" s="90"/>
      <c r="AZ71" s="90" t="s">
        <v>1214</v>
      </c>
      <c r="BA71" s="90"/>
      <c r="BB71" s="91" t="s">
        <v>1253</v>
      </c>
      <c r="BC71" s="91"/>
      <c r="BD71" t="str">
        <f t="shared" si="12"/>
        <v>&lt;a href=https://wcsecure.weblink.com.au/pdf/AHN/03029043.pdftarget="_blank"&gt;View Source&lt;/a&gt;</v>
      </c>
      <c r="BE71" t="str">
        <f t="shared" si="14"/>
        <v>&lt;a href=https://minedex.dmirs.wa.gov.au/Web/projects/details/dfd4369e-fc92-47d7-8f52-e644a08f717d target="_blank"&gt;View Source&lt;/a&gt;</v>
      </c>
      <c r="BF71" t="str">
        <f t="shared" si="13"/>
        <v>&lt;a href=https://www.listcorp.com/asx/ahn/athena-resources-limited/news/scoping-study-byro-fe1-magnetite-project-3033683.htmltarget="_blank"&gt;View Source&lt;/a&gt;</v>
      </c>
    </row>
    <row r="72" spans="1:58" s="79" customFormat="1" x14ac:dyDescent="0.25">
      <c r="A72" s="5" t="s">
        <v>684</v>
      </c>
      <c r="B72" s="84" t="s">
        <v>283</v>
      </c>
      <c r="C72" s="5" t="s">
        <v>394</v>
      </c>
      <c r="D72" s="82" t="s">
        <v>282</v>
      </c>
      <c r="E72" s="88">
        <v>-41.31053</v>
      </c>
      <c r="F72" s="88">
        <v>145.840351</v>
      </c>
      <c r="G72" s="2" t="s">
        <v>48</v>
      </c>
      <c r="H72" s="4" t="s">
        <v>67</v>
      </c>
      <c r="I72" s="78">
        <f t="shared" si="11"/>
        <v>25.5</v>
      </c>
      <c r="J72" s="78">
        <v>13.9</v>
      </c>
      <c r="K72" s="78"/>
      <c r="L72" s="78">
        <v>11.6</v>
      </c>
      <c r="M72" s="78"/>
      <c r="N72" s="78"/>
      <c r="O72" s="78"/>
      <c r="P72"/>
      <c r="Q72" s="5" t="s">
        <v>284</v>
      </c>
      <c r="R72" s="5" t="s">
        <v>685</v>
      </c>
      <c r="S72">
        <v>31.06</v>
      </c>
      <c r="T72"/>
      <c r="U72"/>
      <c r="V72"/>
      <c r="W72"/>
      <c r="X72"/>
      <c r="Y72">
        <v>31.03</v>
      </c>
      <c r="Z72"/>
      <c r="AA72"/>
      <c r="AB72"/>
      <c r="AC72"/>
      <c r="AD72"/>
      <c r="AE72"/>
      <c r="AF72" s="83"/>
      <c r="AG72"/>
      <c r="AH72"/>
      <c r="AI72"/>
      <c r="AJ72"/>
      <c r="AK72" t="s">
        <v>524</v>
      </c>
      <c r="AL72" s="5" t="s">
        <v>572</v>
      </c>
      <c r="AM72" t="s">
        <v>794</v>
      </c>
      <c r="AN72"/>
      <c r="AO72"/>
      <c r="AP72"/>
      <c r="AQ72"/>
      <c r="AR72"/>
      <c r="AS72"/>
      <c r="AT72"/>
      <c r="AU72">
        <v>5.5</v>
      </c>
      <c r="AV72"/>
      <c r="AW72"/>
      <c r="AX72" s="90" t="s">
        <v>1214</v>
      </c>
      <c r="AY72" s="90"/>
      <c r="AZ72" s="90"/>
      <c r="BA72" s="90" t="s">
        <v>1217</v>
      </c>
      <c r="BB72" s="91"/>
      <c r="BC72" s="91"/>
      <c r="BD72" t="str">
        <f t="shared" si="12"/>
        <v>&lt;a href=https://www.nsenergybusiness.com/projects/rogetta-iron-ore-project-tasmania/?cf-view target="_blank"&gt;View Source&lt;/a&gt;</v>
      </c>
      <c r="BE72"/>
      <c r="BF72"/>
    </row>
    <row r="73" spans="1:58" x14ac:dyDescent="0.25">
      <c r="A73" s="5" t="s">
        <v>684</v>
      </c>
      <c r="B73" s="84" t="s">
        <v>105</v>
      </c>
      <c r="C73" s="5" t="s">
        <v>684</v>
      </c>
      <c r="D73" t="s">
        <v>577</v>
      </c>
      <c r="E73" s="88">
        <v>-19.085818</v>
      </c>
      <c r="F73" s="88">
        <v>145.84710999999999</v>
      </c>
      <c r="G73" s="2" t="s">
        <v>47</v>
      </c>
      <c r="H73" s="4" t="s">
        <v>418</v>
      </c>
      <c r="I73" s="78">
        <f t="shared" si="11"/>
        <v>15.3</v>
      </c>
      <c r="J73" s="78"/>
      <c r="K73" s="78">
        <v>15.3</v>
      </c>
      <c r="L73" s="78"/>
      <c r="M73" s="78"/>
      <c r="N73" s="78"/>
      <c r="O73" s="78"/>
      <c r="Q73" s="5" t="s">
        <v>575</v>
      </c>
      <c r="R73" s="5" t="s">
        <v>685</v>
      </c>
      <c r="S73">
        <v>43.14</v>
      </c>
      <c r="AF73" s="83"/>
      <c r="AH73" s="5"/>
      <c r="AK73" t="s">
        <v>21</v>
      </c>
      <c r="AM73" s="5" t="s">
        <v>576</v>
      </c>
      <c r="AT73" s="5">
        <v>1</v>
      </c>
      <c r="AU73" s="5"/>
      <c r="AV73" s="5" t="s">
        <v>576</v>
      </c>
      <c r="AW73" t="s">
        <v>795</v>
      </c>
      <c r="AX73" s="90"/>
      <c r="AY73" s="90" t="s">
        <v>1230</v>
      </c>
      <c r="AZ73" s="90"/>
      <c r="BA73" s="90" t="s">
        <v>1217</v>
      </c>
      <c r="BB73" s="91"/>
      <c r="BC73" s="91"/>
      <c r="BD73" t="str">
        <f t="shared" si="12"/>
        <v>&lt;a href=https://announcements.asx.com.au/asxpdf/20210420/pdf/44vpy33sw335bq.pdftarget="_blank"&gt;View Source&lt;/a&gt;</v>
      </c>
    </row>
    <row r="74" spans="1:58" s="79" customFormat="1" x14ac:dyDescent="0.25">
      <c r="A74" s="5" t="s">
        <v>368</v>
      </c>
      <c r="B74" t="s">
        <v>264</v>
      </c>
      <c r="C74" s="5" t="s">
        <v>367</v>
      </c>
      <c r="D74" t="s">
        <v>783</v>
      </c>
      <c r="E74" s="88">
        <v>-32.878999999999998</v>
      </c>
      <c r="F74" s="88">
        <v>136.62899999999999</v>
      </c>
      <c r="G74" s="2" t="s">
        <v>45</v>
      </c>
      <c r="H74" s="4" t="s">
        <v>67</v>
      </c>
      <c r="I74" s="78">
        <f t="shared" si="11"/>
        <v>11</v>
      </c>
      <c r="J74" s="78"/>
      <c r="K74" s="78">
        <v>11</v>
      </c>
      <c r="L74" s="78"/>
      <c r="M74" s="78"/>
      <c r="N74" s="78"/>
      <c r="O74" s="78"/>
      <c r="P74" t="s">
        <v>166</v>
      </c>
      <c r="Q74" s="5" t="s">
        <v>257</v>
      </c>
      <c r="R74" s="5" t="s">
        <v>674</v>
      </c>
      <c r="S74">
        <v>25.99</v>
      </c>
      <c r="T74">
        <v>38.1</v>
      </c>
      <c r="U74"/>
      <c r="V74"/>
      <c r="W74"/>
      <c r="X74"/>
      <c r="Y74"/>
      <c r="Z74"/>
      <c r="AA74"/>
      <c r="AB74"/>
      <c r="AC74"/>
      <c r="AD74"/>
      <c r="AE74"/>
      <c r="AF74" s="83"/>
      <c r="AG74">
        <v>0</v>
      </c>
      <c r="AH74">
        <v>75</v>
      </c>
      <c r="AI74"/>
      <c r="AJ74"/>
      <c r="AK74" t="s">
        <v>149</v>
      </c>
      <c r="AL74" s="5" t="s">
        <v>452</v>
      </c>
      <c r="AM74"/>
      <c r="AN74"/>
      <c r="AO74"/>
      <c r="AP74"/>
      <c r="AQ74"/>
      <c r="AR74"/>
      <c r="AS74"/>
      <c r="AT74"/>
      <c r="AU74"/>
      <c r="AV74" s="5" t="s">
        <v>370</v>
      </c>
      <c r="AW74"/>
      <c r="AX74" s="90" t="s">
        <v>1214</v>
      </c>
      <c r="AY74" s="90"/>
      <c r="AZ74" s="90" t="s">
        <v>1214</v>
      </c>
      <c r="BA74" s="90"/>
      <c r="BB74" s="91"/>
      <c r="BC74" s="91" t="s">
        <v>674</v>
      </c>
      <c r="BD74" t="str">
        <f t="shared" si="12"/>
        <v>&lt;a href=https://wcsecure.weblink.com.au/pdf/LML/02787328.pdf target="_blank"&gt;View Source&lt;/a&gt;</v>
      </c>
      <c r="BE74" t="str">
        <f t="shared" si="14"/>
        <v>&lt;a href=https://minerals.sarig.sa.gov.au/MineralDepositDetails.aspx?DEPOSIT_NO=6639&amp;ref=1target="_blank"&gt;View Source&lt;/a&gt;</v>
      </c>
      <c r="BF74"/>
    </row>
    <row r="75" spans="1:58" x14ac:dyDescent="0.25">
      <c r="A75" s="6" t="s">
        <v>358</v>
      </c>
      <c r="B75" t="s">
        <v>107</v>
      </c>
      <c r="C75" s="5" t="s">
        <v>357</v>
      </c>
      <c r="D75" t="s">
        <v>288</v>
      </c>
      <c r="E75" s="88">
        <v>-37.6608840926</v>
      </c>
      <c r="F75" s="88">
        <v>148.1169550999</v>
      </c>
      <c r="G75" s="2" t="s">
        <v>108</v>
      </c>
      <c r="H75" s="4" t="s">
        <v>67</v>
      </c>
      <c r="I75" s="78">
        <f t="shared" si="11"/>
        <v>9.06</v>
      </c>
      <c r="J75" s="78">
        <v>4.32</v>
      </c>
      <c r="K75" s="78">
        <v>2.4900000000000002</v>
      </c>
      <c r="L75" s="78">
        <v>2.25</v>
      </c>
      <c r="M75" s="78"/>
      <c r="N75" s="78"/>
      <c r="O75" s="78"/>
      <c r="P75" t="s">
        <v>156</v>
      </c>
      <c r="Q75" s="5" t="s">
        <v>289</v>
      </c>
      <c r="R75" s="5" t="s">
        <v>685</v>
      </c>
      <c r="S75">
        <v>50.8</v>
      </c>
      <c r="Y75">
        <v>40</v>
      </c>
      <c r="Z75">
        <v>57.8</v>
      </c>
      <c r="AA75">
        <v>12.2</v>
      </c>
      <c r="AD75">
        <v>0.65</v>
      </c>
      <c r="AF75" s="83">
        <f>AA75+AB75</f>
        <v>12.2</v>
      </c>
      <c r="AJ75" s="5" t="s">
        <v>483</v>
      </c>
      <c r="AK75" t="s">
        <v>541</v>
      </c>
      <c r="AL75" s="5" t="s">
        <v>574</v>
      </c>
      <c r="AN75" s="5">
        <v>2014</v>
      </c>
      <c r="AO75">
        <v>33.6</v>
      </c>
      <c r="AS75">
        <v>26.1</v>
      </c>
      <c r="AT75">
        <v>0.78</v>
      </c>
      <c r="AV75" s="5" t="s">
        <v>290</v>
      </c>
      <c r="AW75" s="5" t="s">
        <v>163</v>
      </c>
      <c r="AX75" s="90" t="s">
        <v>1214</v>
      </c>
      <c r="AY75" s="90"/>
      <c r="AZ75" s="90" t="s">
        <v>1214</v>
      </c>
      <c r="BA75" s="90"/>
      <c r="BB75" s="91"/>
      <c r="BC75" s="91"/>
      <c r="BD75" t="str">
        <f t="shared" si="12"/>
        <v>&lt;a href=https://www.aspecthuntley.com.au/asxdata/20140521/pdf/01519382.pdf target="_blank"&gt;View Source&lt;/a&gt;</v>
      </c>
      <c r="BF75" t="str">
        <f t="shared" si="13"/>
        <v>&lt;a href=https://hotcopper.com.au/data/announcements/ASX/820108_EFE.pdf target="_blank"&gt;View Source&lt;/a&gt;</v>
      </c>
    </row>
    <row r="76" spans="1:58" x14ac:dyDescent="0.25">
      <c r="A76" s="5" t="s">
        <v>684</v>
      </c>
      <c r="B76" s="93" t="s">
        <v>381</v>
      </c>
      <c r="C76" s="5" t="s">
        <v>384</v>
      </c>
      <c r="D76" s="79" t="s">
        <v>385</v>
      </c>
      <c r="E76" s="88">
        <v>-26.074597000000001</v>
      </c>
      <c r="F76" s="88">
        <v>117.238749</v>
      </c>
      <c r="G76" s="4" t="s">
        <v>49</v>
      </c>
      <c r="H76" s="4" t="s">
        <v>67</v>
      </c>
      <c r="I76" s="97">
        <f t="shared" si="11"/>
        <v>8.3000000000000007</v>
      </c>
      <c r="J76" s="97">
        <v>8.3000000000000007</v>
      </c>
      <c r="K76" s="97"/>
      <c r="L76" s="97"/>
      <c r="M76" s="97"/>
      <c r="N76" s="97"/>
      <c r="O76" s="97"/>
      <c r="P76" s="79"/>
      <c r="Q76" s="5" t="s">
        <v>177</v>
      </c>
      <c r="R76" s="81" t="s">
        <v>233</v>
      </c>
      <c r="S76" s="79">
        <v>26.8</v>
      </c>
      <c r="T76" s="79"/>
      <c r="U76" s="79"/>
      <c r="V76" s="79"/>
      <c r="W76" s="79"/>
      <c r="X76" s="79"/>
      <c r="Y76" s="79"/>
      <c r="Z76" s="79"/>
      <c r="AA76" s="79"/>
      <c r="AB76" s="79"/>
      <c r="AC76" s="79"/>
      <c r="AD76" s="79"/>
      <c r="AE76" s="79"/>
      <c r="AF76" s="98"/>
      <c r="AG76" s="79">
        <v>22</v>
      </c>
      <c r="AH76" s="79">
        <v>45</v>
      </c>
      <c r="AI76" s="79">
        <v>0.63</v>
      </c>
      <c r="AJ76" s="79"/>
      <c r="AK76" s="79" t="s">
        <v>541</v>
      </c>
      <c r="AL76" s="79"/>
      <c r="AM76" s="79" t="s">
        <v>570</v>
      </c>
      <c r="AN76" s="79"/>
      <c r="AO76" s="79"/>
      <c r="AP76" s="79"/>
      <c r="AQ76" s="79"/>
      <c r="AR76" s="79"/>
      <c r="AS76" s="79"/>
      <c r="AT76" s="79"/>
      <c r="AU76" s="79"/>
      <c r="AV76" s="79"/>
      <c r="AW76" s="79" t="s">
        <v>807</v>
      </c>
      <c r="AX76" s="90" t="s">
        <v>1214</v>
      </c>
      <c r="AY76" s="90"/>
      <c r="AZ76" s="90"/>
      <c r="BA76" s="90" t="s">
        <v>1217</v>
      </c>
      <c r="BB76" s="91" t="s">
        <v>1254</v>
      </c>
      <c r="BC76" s="91"/>
      <c r="BD76" t="str">
        <f t="shared" si="12"/>
        <v>&lt;a href=https://www.aspecthuntley.com.au/asxdata/20110704/pdf/01194592.pdf target="_blank"&gt;View Source&lt;/a&gt;</v>
      </c>
      <c r="BE76" t="str">
        <f t="shared" si="14"/>
        <v>&lt;a href=https://minedex.dmirs.wa.gov.au/Web/sites/details/525a7369-9b53-4f3d-8cb6-6008d75d1263 target="_blank"&gt;View Source&lt;/a&gt;</v>
      </c>
    </row>
    <row r="77" spans="1:58" x14ac:dyDescent="0.25">
      <c r="A77" s="6" t="s">
        <v>393</v>
      </c>
      <c r="B77" t="s">
        <v>106</v>
      </c>
      <c r="C77" s="5" t="s">
        <v>393</v>
      </c>
      <c r="D77" t="s">
        <v>125</v>
      </c>
      <c r="E77" s="88">
        <v>-41.17</v>
      </c>
      <c r="F77" s="88">
        <v>144.74</v>
      </c>
      <c r="G77" s="2" t="s">
        <v>48</v>
      </c>
      <c r="H77" s="4" t="s">
        <v>67</v>
      </c>
      <c r="I77" s="78">
        <f t="shared" si="11"/>
        <v>7.8</v>
      </c>
      <c r="J77" s="78">
        <v>1.7</v>
      </c>
      <c r="K77" s="78">
        <v>6.1</v>
      </c>
      <c r="L77" s="78"/>
      <c r="M77" s="78"/>
      <c r="N77" s="78"/>
      <c r="O77" s="78"/>
      <c r="P77" t="s">
        <v>156</v>
      </c>
      <c r="Q77" s="5" t="s">
        <v>278</v>
      </c>
      <c r="R77" s="5" t="s">
        <v>685</v>
      </c>
      <c r="Y77">
        <v>20</v>
      </c>
      <c r="Z77">
        <v>65.5</v>
      </c>
      <c r="AA77">
        <v>5.2</v>
      </c>
      <c r="AB77">
        <v>0.22</v>
      </c>
      <c r="AD77">
        <v>0.3</v>
      </c>
      <c r="AF77" s="83">
        <f>AA77+AB77</f>
        <v>5.42</v>
      </c>
      <c r="AI77">
        <v>38.299999999999997</v>
      </c>
      <c r="AJ77" s="5" t="s">
        <v>278</v>
      </c>
      <c r="AK77" t="s">
        <v>148</v>
      </c>
      <c r="AL77" s="5" t="s">
        <v>573</v>
      </c>
      <c r="AM77" t="s">
        <v>796</v>
      </c>
      <c r="AU77">
        <v>2.9910000000000001</v>
      </c>
      <c r="AV77" s="5" t="s">
        <v>279</v>
      </c>
      <c r="AX77" s="90" t="s">
        <v>1214</v>
      </c>
      <c r="AY77" s="90"/>
      <c r="AZ77" s="90" t="s">
        <v>1214</v>
      </c>
      <c r="BA77" s="90"/>
      <c r="BB77" s="91"/>
      <c r="BC77" s="91"/>
      <c r="BD77" t="str">
        <f t="shared" si="12"/>
        <v>&lt;a href=https://www.annualreports.com/HostedData/AnnualReportArchive/c/ASX_SHH_2021.pdf target="_blank"&gt;View Source&lt;/a&gt;</v>
      </c>
      <c r="BF77" t="str">
        <f t="shared" si="13"/>
        <v>&lt;a href=https://www.annualreports.com/HostedData/AnnualReportArchive/c/ASX_SHH_2021.pdf target="_blank"&gt;View Source&lt;/a&gt;</v>
      </c>
    </row>
    <row r="78" spans="1:58" x14ac:dyDescent="0.25">
      <c r="A78" s="6" t="s">
        <v>359</v>
      </c>
      <c r="B78" s="84" t="s">
        <v>797</v>
      </c>
      <c r="C78" s="5" t="s">
        <v>380</v>
      </c>
      <c r="D78" t="s">
        <v>59</v>
      </c>
      <c r="E78" s="88">
        <v>-28.84844</v>
      </c>
      <c r="F78" s="88">
        <v>116.935799</v>
      </c>
      <c r="G78" s="2" t="s">
        <v>49</v>
      </c>
      <c r="H78" s="4" t="s">
        <v>67</v>
      </c>
      <c r="I78" s="78">
        <f t="shared" si="11"/>
        <v>5.0999999999999996</v>
      </c>
      <c r="J78" s="78">
        <v>1.2</v>
      </c>
      <c r="K78" s="78">
        <v>3.1</v>
      </c>
      <c r="L78" s="78">
        <v>0.8</v>
      </c>
      <c r="M78" s="78"/>
      <c r="N78" s="78"/>
      <c r="O78" s="78"/>
      <c r="Q78" s="5" t="s">
        <v>183</v>
      </c>
      <c r="R78" s="5" t="s">
        <v>685</v>
      </c>
      <c r="Z78">
        <v>57.6</v>
      </c>
      <c r="AA78">
        <v>8.68</v>
      </c>
      <c r="AB78">
        <v>1.03</v>
      </c>
      <c r="AC78">
        <v>5.8000000000000003E-2</v>
      </c>
      <c r="AF78" s="83">
        <f>AA78+AB78</f>
        <v>9.7099999999999991</v>
      </c>
      <c r="AG78">
        <v>50</v>
      </c>
      <c r="AJ78" s="5" t="s">
        <v>183</v>
      </c>
      <c r="AK78" t="s">
        <v>148</v>
      </c>
      <c r="AL78" s="5" t="s">
        <v>183</v>
      </c>
      <c r="AM78" t="s">
        <v>798</v>
      </c>
      <c r="AW78" t="s">
        <v>379</v>
      </c>
      <c r="AX78" s="90" t="s">
        <v>1214</v>
      </c>
      <c r="AY78" s="90"/>
      <c r="AZ78" s="90" t="s">
        <v>1214</v>
      </c>
      <c r="BA78" s="90"/>
      <c r="BB78" s="91"/>
      <c r="BC78" s="91"/>
      <c r="BD78" t="str">
        <f t="shared" si="12"/>
        <v>&lt;a href=https://wcsecure.weblink.com.au/pdf/FEX/02680649.pdf target="_blank"&gt;View Source&lt;/a&gt;</v>
      </c>
      <c r="BF78" t="str">
        <f t="shared" si="13"/>
        <v>&lt;a href=https://wcsecure.weblink.com.au/pdf/FEX/02680649.pdf target="_blank"&gt;View Source&lt;/a&gt;</v>
      </c>
    </row>
    <row r="79" spans="1:58" x14ac:dyDescent="0.25">
      <c r="A79" s="6" t="s">
        <v>377</v>
      </c>
      <c r="B79" t="s">
        <v>800</v>
      </c>
      <c r="C79" s="5" t="s">
        <v>378</v>
      </c>
      <c r="D79" t="s">
        <v>54</v>
      </c>
      <c r="E79" s="88">
        <v>-19.677</v>
      </c>
      <c r="F79" s="88">
        <v>134.28200000000001</v>
      </c>
      <c r="G79" s="2" t="s">
        <v>53</v>
      </c>
      <c r="H79" s="4" t="s">
        <v>418</v>
      </c>
      <c r="I79" s="78">
        <f t="shared" si="11"/>
        <v>3.75</v>
      </c>
      <c r="J79" s="78"/>
      <c r="K79" s="78"/>
      <c r="L79" s="78">
        <v>3.75</v>
      </c>
      <c r="M79" s="78"/>
      <c r="N79" s="78"/>
      <c r="O79" s="78"/>
      <c r="Q79" s="5" t="s">
        <v>249</v>
      </c>
      <c r="R79" s="5" t="s">
        <v>685</v>
      </c>
      <c r="Z79">
        <v>65</v>
      </c>
      <c r="AF79" s="83"/>
      <c r="AJ79" s="5" t="s">
        <v>481</v>
      </c>
      <c r="AK79" t="s">
        <v>21</v>
      </c>
      <c r="AU79">
        <v>0.35</v>
      </c>
      <c r="AV79" s="5" t="s">
        <v>248</v>
      </c>
      <c r="AW79" t="s">
        <v>799</v>
      </c>
      <c r="AX79" s="90" t="s">
        <v>1214</v>
      </c>
      <c r="AY79" s="90"/>
      <c r="AZ79" s="90" t="s">
        <v>1214</v>
      </c>
      <c r="BA79" s="90"/>
      <c r="BB79" s="91"/>
      <c r="BC79" s="91"/>
      <c r="BD79" t="str">
        <f t="shared" si="12"/>
        <v>&lt;a href=https://www.aspecthuntley.com.au/asxdata/20220913/pdf/02567419.pdf target="_blank"&gt;View Source&lt;/a&gt;</v>
      </c>
      <c r="BF79" t="str">
        <f t="shared" si="13"/>
        <v>&lt;a href=https://elmoreltd.com.au/projects/ target="_blank"&gt;View Source&lt;/a&gt;</v>
      </c>
    </row>
    <row r="80" spans="1:58" x14ac:dyDescent="0.25">
      <c r="A80" s="5" t="s">
        <v>415</v>
      </c>
      <c r="B80" t="s">
        <v>801</v>
      </c>
      <c r="C80" s="6" t="s">
        <v>416</v>
      </c>
      <c r="D80" t="s">
        <v>419</v>
      </c>
      <c r="E80" s="88">
        <v>-19.444811112699998</v>
      </c>
      <c r="F80" s="88">
        <v>133.82371231159999</v>
      </c>
      <c r="G80" s="2" t="s">
        <v>53</v>
      </c>
      <c r="H80" s="4" t="s">
        <v>21</v>
      </c>
      <c r="I80" s="78">
        <f t="shared" si="11"/>
        <v>3.6</v>
      </c>
      <c r="J80" s="78"/>
      <c r="K80" s="78"/>
      <c r="L80" s="78">
        <v>3.6</v>
      </c>
      <c r="M80" s="78">
        <f>N80+O80</f>
        <v>3.6</v>
      </c>
      <c r="N80" s="78"/>
      <c r="O80" s="78">
        <v>3.6</v>
      </c>
      <c r="Q80" s="5" t="s">
        <v>420</v>
      </c>
      <c r="R80" s="5" t="s">
        <v>685</v>
      </c>
      <c r="Z80">
        <v>68</v>
      </c>
      <c r="AF80" s="83"/>
      <c r="AJ80" s="5" t="s">
        <v>416</v>
      </c>
      <c r="AK80" t="s">
        <v>21</v>
      </c>
      <c r="AT80">
        <v>1.2</v>
      </c>
      <c r="AU80">
        <v>3.6</v>
      </c>
      <c r="AX80" s="90" t="s">
        <v>1214</v>
      </c>
      <c r="AY80" s="90"/>
      <c r="AZ80" s="90" t="s">
        <v>1214</v>
      </c>
      <c r="BA80" s="90"/>
      <c r="BB80" s="91"/>
      <c r="BC80" s="91"/>
      <c r="BD80" t="str">
        <f t="shared" si="12"/>
        <v>&lt;a href=https://mining.com.au/northern-iron-dispatches-inaugural-magnetite-shipment/ target="_blank"&gt;View Source&lt;/a&gt;</v>
      </c>
      <c r="BF80" t="str">
        <f t="shared" si="13"/>
        <v>&lt;a href=https://www.northern-iron.com.au/projects target="_blank"&gt;View Source&lt;/a&gt;</v>
      </c>
    </row>
    <row r="81" spans="1:58" x14ac:dyDescent="0.25">
      <c r="A81" s="5" t="s">
        <v>368</v>
      </c>
      <c r="B81" t="s">
        <v>265</v>
      </c>
      <c r="C81" s="5" t="s">
        <v>703</v>
      </c>
      <c r="D81" t="s">
        <v>783</v>
      </c>
      <c r="E81" s="100">
        <v>-34.690631400000001</v>
      </c>
      <c r="F81" s="100">
        <v>135.72996269999999</v>
      </c>
      <c r="G81" s="2" t="s">
        <v>45</v>
      </c>
      <c r="H81" s="4" t="s">
        <v>67</v>
      </c>
      <c r="I81" s="78">
        <f t="shared" si="11"/>
        <v>3.5</v>
      </c>
      <c r="J81" s="78"/>
      <c r="K81" s="78">
        <v>3.5</v>
      </c>
      <c r="L81" s="78"/>
      <c r="M81" s="78"/>
      <c r="N81" s="78"/>
      <c r="O81" s="78"/>
      <c r="P81" t="s">
        <v>166</v>
      </c>
      <c r="Q81" s="5" t="s">
        <v>257</v>
      </c>
      <c r="R81" s="5" t="s">
        <v>682</v>
      </c>
      <c r="S81">
        <v>27.1</v>
      </c>
      <c r="T81">
        <v>38.700000000000003</v>
      </c>
      <c r="U81">
        <v>1.05</v>
      </c>
      <c r="Z81">
        <v>66.099999999999994</v>
      </c>
      <c r="AA81">
        <v>4.9000000000000004</v>
      </c>
      <c r="AB81">
        <v>0.52</v>
      </c>
      <c r="AC81">
        <v>0.01</v>
      </c>
      <c r="AD81">
        <v>0.11</v>
      </c>
      <c r="AF81" s="83">
        <f>AA81+AB81</f>
        <v>5.42</v>
      </c>
      <c r="AG81">
        <v>0</v>
      </c>
      <c r="AH81">
        <v>75</v>
      </c>
      <c r="AI81">
        <v>22.6</v>
      </c>
      <c r="AJ81" s="5" t="s">
        <v>274</v>
      </c>
      <c r="AK81" t="s">
        <v>149</v>
      </c>
      <c r="AL81" s="5" t="s">
        <v>452</v>
      </c>
      <c r="AV81" s="5"/>
      <c r="AX81" s="90" t="s">
        <v>1214</v>
      </c>
      <c r="AY81" s="90"/>
      <c r="AZ81" s="90" t="s">
        <v>1214</v>
      </c>
      <c r="BA81" s="90"/>
      <c r="BB81" s="91"/>
      <c r="BC81" s="91" t="s">
        <v>682</v>
      </c>
      <c r="BD81" t="str">
        <f t="shared" si="12"/>
        <v>&lt;a href=https://wcsecure.weblink.com.au/pdf/LML/02787328.pdf target="_blank"&gt;View Source&lt;/a&gt;</v>
      </c>
      <c r="BE81" t="str">
        <f t="shared" si="14"/>
        <v>&lt;a href=https://minerals.sarig.sa.gov.au/MineralDepositDetails.aspx?DEPOSIT_NO=8743&amp;ref=1target="_blank"&gt;View Source&lt;/a&gt;</v>
      </c>
      <c r="BF81" t="str">
        <f t="shared" si="13"/>
        <v>&lt;a href=https://announcements.asx.com.au/asxpdf/20120607/pdf/426q70ddjcq4ds.pdf target="_blank"&gt;View Source&lt;/a&gt;</v>
      </c>
    </row>
    <row r="82" spans="1:58" x14ac:dyDescent="0.25">
      <c r="A82" s="5" t="s">
        <v>684</v>
      </c>
      <c r="B82" s="93" t="s">
        <v>102</v>
      </c>
      <c r="C82" s="5" t="s">
        <v>684</v>
      </c>
      <c r="D82" s="101"/>
      <c r="E82" s="88">
        <v>-21.9786635858</v>
      </c>
      <c r="F82" s="88">
        <v>150.1677098145</v>
      </c>
      <c r="G82" s="4" t="s">
        <v>47</v>
      </c>
      <c r="H82" s="4" t="s">
        <v>67</v>
      </c>
      <c r="I82" s="97">
        <f t="shared" si="11"/>
        <v>2</v>
      </c>
      <c r="J82" s="97"/>
      <c r="K82" s="97">
        <v>2</v>
      </c>
      <c r="L82" s="97"/>
      <c r="M82" s="97"/>
      <c r="N82" s="97"/>
      <c r="O82" s="97"/>
      <c r="P82" s="79"/>
      <c r="Q82" s="5" t="s">
        <v>251</v>
      </c>
      <c r="R82" s="5" t="s">
        <v>685</v>
      </c>
      <c r="S82" s="79"/>
      <c r="T82" s="79"/>
      <c r="U82" s="79"/>
      <c r="V82" s="79"/>
      <c r="W82" s="79"/>
      <c r="X82" s="79"/>
      <c r="Y82" s="79"/>
      <c r="Z82" s="79"/>
      <c r="AA82" s="79"/>
      <c r="AB82" s="79"/>
      <c r="AC82" s="79"/>
      <c r="AD82" s="79"/>
      <c r="AE82" s="79"/>
      <c r="AF82" s="98"/>
      <c r="AG82" s="79"/>
      <c r="AH82" s="79"/>
      <c r="AI82" s="79"/>
      <c r="AJ82" s="79"/>
      <c r="AK82" s="79" t="s">
        <v>148</v>
      </c>
      <c r="AL82" s="79"/>
      <c r="AM82" s="79"/>
      <c r="AN82" s="79"/>
      <c r="AO82" s="79"/>
      <c r="AP82" s="79"/>
      <c r="AQ82" s="79"/>
      <c r="AR82" s="79"/>
      <c r="AS82" s="79"/>
      <c r="AT82" s="79"/>
      <c r="AU82" s="79"/>
      <c r="AV82" s="79"/>
      <c r="AW82" s="79"/>
      <c r="AX82" s="90"/>
      <c r="AY82" s="90" t="s">
        <v>1230</v>
      </c>
      <c r="AZ82" s="90"/>
      <c r="BA82" s="90" t="s">
        <v>1217</v>
      </c>
      <c r="BB82" s="91"/>
      <c r="BC82" s="91"/>
      <c r="BD82" t="str">
        <f t="shared" si="12"/>
        <v>&lt;a href=https://www.vizmap.com.au/NRM/Commodities/493456.htm target="_blank"&gt;View Source&lt;/a&gt;</v>
      </c>
    </row>
    <row r="83" spans="1:58" ht="15" customHeight="1" x14ac:dyDescent="0.25">
      <c r="A83" s="5" t="s">
        <v>684</v>
      </c>
      <c r="B83" s="93" t="s">
        <v>101</v>
      </c>
      <c r="C83" s="5" t="s">
        <v>684</v>
      </c>
      <c r="D83" s="79" t="s">
        <v>120</v>
      </c>
      <c r="E83" s="88">
        <v>-29.022805999999999</v>
      </c>
      <c r="F83" s="88">
        <v>116.871134</v>
      </c>
      <c r="G83" s="4" t="s">
        <v>49</v>
      </c>
      <c r="H83" s="4" t="s">
        <v>67</v>
      </c>
      <c r="I83" s="97">
        <f t="shared" si="11"/>
        <v>1.3</v>
      </c>
      <c r="J83" s="97"/>
      <c r="K83" s="97">
        <v>1.3</v>
      </c>
      <c r="L83" s="97"/>
      <c r="M83" s="97"/>
      <c r="N83" s="97"/>
      <c r="O83" s="97"/>
      <c r="P83" s="79"/>
      <c r="Q83" s="5" t="s">
        <v>243</v>
      </c>
      <c r="R83" s="81" t="s">
        <v>503</v>
      </c>
      <c r="S83" s="79"/>
      <c r="T83" s="79"/>
      <c r="U83" s="79"/>
      <c r="V83" s="79"/>
      <c r="W83" s="79"/>
      <c r="X83" s="79"/>
      <c r="Y83" s="79">
        <v>57</v>
      </c>
      <c r="Z83" s="79">
        <v>60.6</v>
      </c>
      <c r="AA83" s="79">
        <v>7.6</v>
      </c>
      <c r="AB83" s="79">
        <v>0.8</v>
      </c>
      <c r="AC83" s="79">
        <v>0.06</v>
      </c>
      <c r="AD83" s="79">
        <v>0.01</v>
      </c>
      <c r="AE83" s="79">
        <v>2.9</v>
      </c>
      <c r="AF83" s="98">
        <f>AA83+AB83</f>
        <v>8.4</v>
      </c>
      <c r="AG83" s="79"/>
      <c r="AH83" s="79"/>
      <c r="AI83" s="79"/>
      <c r="AJ83" s="5" t="s">
        <v>243</v>
      </c>
      <c r="AK83" s="79" t="s">
        <v>148</v>
      </c>
      <c r="AL83" s="79"/>
      <c r="AM83" s="79"/>
      <c r="AN83" s="79"/>
      <c r="AO83" s="79"/>
      <c r="AP83" s="79"/>
      <c r="AQ83" s="79"/>
      <c r="AR83" s="79"/>
      <c r="AS83" s="79"/>
      <c r="AT83" s="79"/>
      <c r="AU83" s="79"/>
      <c r="AV83" s="79"/>
      <c r="AW83" s="79" t="s">
        <v>391</v>
      </c>
      <c r="AX83" s="90"/>
      <c r="AY83" s="90" t="s">
        <v>1230</v>
      </c>
      <c r="AZ83" s="90"/>
      <c r="BA83" s="90" t="s">
        <v>1217</v>
      </c>
      <c r="BB83" s="91" t="s">
        <v>1255</v>
      </c>
      <c r="BC83" s="91"/>
      <c r="BD83" t="str">
        <f t="shared" si="12"/>
        <v>&lt;a href=https://announcements.asx.com.au/asxpdf/20131011/pdf/42jzhm5mf7qssv.pdf target="_blank"&gt;View Source&lt;/a&gt;</v>
      </c>
      <c r="BE83" t="str">
        <f t="shared" si="14"/>
        <v>&lt;a href=https://minedex.dmirs.wa.gov.au/Web/sites/details/33251fcf-cb27-4e0a-92d5-e34cf11cddd8 target="_blank"&gt;View Source&lt;/a&gt;</v>
      </c>
      <c r="BF83" t="str">
        <f t="shared" si="13"/>
        <v>&lt;a href=https://announcements.asx.com.au/asxpdf/20131011/pdf/42jzhm5mf7qssv.pdf target="_blank"&gt;View Source&lt;/a&gt;</v>
      </c>
    </row>
    <row r="84" spans="1:58" x14ac:dyDescent="0.25">
      <c r="A84" s="6" t="s">
        <v>386</v>
      </c>
      <c r="B84" t="s">
        <v>99</v>
      </c>
      <c r="C84" s="5" t="s">
        <v>387</v>
      </c>
      <c r="D84" t="s">
        <v>400</v>
      </c>
      <c r="E84" s="88">
        <v>-33.872553408599998</v>
      </c>
      <c r="F84" s="88">
        <v>148.50148942120001</v>
      </c>
      <c r="G84" s="2" t="s">
        <v>70</v>
      </c>
      <c r="H84" s="4" t="s">
        <v>67</v>
      </c>
      <c r="I84" s="78">
        <f t="shared" si="11"/>
        <v>1.3</v>
      </c>
      <c r="J84" s="78">
        <v>1.3</v>
      </c>
      <c r="K84" s="78"/>
      <c r="L84" s="78"/>
      <c r="M84" s="78"/>
      <c r="N84" s="78"/>
      <c r="O84" s="78"/>
      <c r="Q84" s="5" t="s">
        <v>171</v>
      </c>
      <c r="R84" s="5" t="s">
        <v>685</v>
      </c>
      <c r="AF84" s="83"/>
      <c r="AK84" t="s">
        <v>524</v>
      </c>
      <c r="AL84" s="5" t="s">
        <v>581</v>
      </c>
      <c r="AM84" t="s">
        <v>582</v>
      </c>
      <c r="AU84">
        <v>1.3</v>
      </c>
      <c r="AV84" s="5" t="s">
        <v>246</v>
      </c>
      <c r="AW84" t="s">
        <v>580</v>
      </c>
      <c r="AX84" s="90" t="s">
        <v>1214</v>
      </c>
      <c r="AY84" s="90"/>
      <c r="AZ84" s="90" t="s">
        <v>1214</v>
      </c>
      <c r="BA84" s="90"/>
      <c r="BB84" s="91"/>
      <c r="BC84" s="91"/>
      <c r="BD84" t="str">
        <f t="shared" si="12"/>
        <v>&lt;a href=https://www.resources.nsw.gov.au/sites/default/files/2022-11/magnetite.pdf target="_blank"&gt;View Source&lt;/a&gt;</v>
      </c>
    </row>
    <row r="85" spans="1:58" ht="16.5" customHeight="1" x14ac:dyDescent="0.25">
      <c r="A85" s="5" t="s">
        <v>1257</v>
      </c>
      <c r="B85" s="2" t="s">
        <v>1262</v>
      </c>
      <c r="C85" s="6" t="s">
        <v>830</v>
      </c>
      <c r="D85" s="84" t="s">
        <v>1261</v>
      </c>
      <c r="E85" s="100">
        <v>-29.002500000000001</v>
      </c>
      <c r="F85" s="100">
        <v>117.47490000000001</v>
      </c>
      <c r="G85" s="102" t="s">
        <v>49</v>
      </c>
      <c r="H85" s="4" t="s">
        <v>67</v>
      </c>
      <c r="I85" s="78">
        <f t="shared" si="11"/>
        <v>6.3500000000000001E-2</v>
      </c>
      <c r="K85">
        <f>63.5/1000</f>
        <v>6.3500000000000001E-2</v>
      </c>
      <c r="P85" t="s">
        <v>156</v>
      </c>
      <c r="Q85" s="5" t="s">
        <v>832</v>
      </c>
      <c r="R85" s="5" t="s">
        <v>833</v>
      </c>
      <c r="S85">
        <v>30.6</v>
      </c>
      <c r="Y85">
        <v>28</v>
      </c>
      <c r="Z85">
        <v>68</v>
      </c>
      <c r="AA85">
        <v>3.82</v>
      </c>
      <c r="AB85">
        <v>0.12</v>
      </c>
      <c r="AC85">
        <v>3.1E-2</v>
      </c>
      <c r="AF85" s="83">
        <f>AA85+AB85</f>
        <v>3.94</v>
      </c>
      <c r="AJ85" s="5" t="s">
        <v>834</v>
      </c>
      <c r="AK85" t="s">
        <v>148</v>
      </c>
      <c r="AN85" s="2"/>
      <c r="AO85" s="2"/>
      <c r="AW85" s="103" t="s">
        <v>1180</v>
      </c>
      <c r="AX85" s="90" t="s">
        <v>1214</v>
      </c>
      <c r="AY85" s="103"/>
      <c r="AZ85" s="90" t="s">
        <v>1214</v>
      </c>
      <c r="BA85" s="103"/>
      <c r="BB85" s="104" t="s">
        <v>1256</v>
      </c>
      <c r="BC85" s="104"/>
      <c r="BD85" t="str">
        <f t="shared" si="12"/>
        <v>&lt;a href=https://investorhub.tempestminerals.com/announcements/6947910 target="_blank"&gt;View Source&lt;/a&gt;</v>
      </c>
      <c r="BE85" t="str">
        <f t="shared" si="14"/>
        <v>&lt;a href=https://minedex.dmirs.wa.gov.au/Web/projects/details/d0506860-8f8f-7782-205a-92628dc5bb9f target="_blank"&gt;View Source&lt;/a&gt;</v>
      </c>
      <c r="BF85" t="str">
        <f>"&lt;a href="&amp;AJ85&amp;"target=""_blank""&gt;View Source&lt;/a&gt;"</f>
        <v>&lt;a href=https://investorhub.tempestminerals.com/announcements/6951864 target="_blank"&gt;View Source&lt;/a&gt;</v>
      </c>
    </row>
    <row r="86" spans="1:58" x14ac:dyDescent="0.25">
      <c r="A86"/>
      <c r="B86"/>
      <c r="D86" s="2"/>
      <c r="G86" s="102"/>
      <c r="AH86" s="74"/>
      <c r="AN86" s="2"/>
      <c r="AO86" s="2"/>
    </row>
    <row r="87" spans="1:58" x14ac:dyDescent="0.25">
      <c r="A87"/>
      <c r="H87"/>
      <c r="AH87" s="74"/>
    </row>
    <row r="88" spans="1:58" x14ac:dyDescent="0.25">
      <c r="A88"/>
      <c r="C88" s="105"/>
      <c r="D88" s="88"/>
      <c r="H88" s="106"/>
      <c r="AH88" s="74"/>
      <c r="AN88" s="105"/>
      <c r="AO88" s="105"/>
    </row>
    <row r="89" spans="1:58" x14ac:dyDescent="0.25">
      <c r="A89"/>
      <c r="H89" s="106"/>
      <c r="AH89" s="74"/>
    </row>
    <row r="90" spans="1:58" x14ac:dyDescent="0.25">
      <c r="A90"/>
      <c r="AH90" s="74"/>
    </row>
    <row r="91" spans="1:58" x14ac:dyDescent="0.25">
      <c r="A91"/>
      <c r="AH91" s="74"/>
    </row>
    <row r="92" spans="1:58" x14ac:dyDescent="0.25">
      <c r="A92"/>
      <c r="AH92" s="74"/>
    </row>
    <row r="93" spans="1:58" x14ac:dyDescent="0.25">
      <c r="A93" s="76"/>
    </row>
    <row r="94" spans="1:58" x14ac:dyDescent="0.25">
      <c r="A94"/>
    </row>
    <row r="95" spans="1:58" x14ac:dyDescent="0.25">
      <c r="A95"/>
    </row>
    <row r="96" spans="1:58"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s="76"/>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sheetData>
  <autoFilter ref="A1:BF85" xr:uid="{23FD737F-5021-44AC-8338-C6E26E8CD685}"/>
  <phoneticPr fontId="6" type="noConversion"/>
  <conditionalFormatting sqref="B1:B85 B87:B1048576">
    <cfRule type="duplicateValues" dxfId="9" priority="1"/>
  </conditionalFormatting>
  <conditionalFormatting sqref="B81">
    <cfRule type="duplicateValues" dxfId="8" priority="2"/>
    <cfRule type="duplicateValues" dxfId="7" priority="3"/>
  </conditionalFormatting>
  <conditionalFormatting sqref="AN85:AO86">
    <cfRule type="duplicateValues" dxfId="6" priority="21"/>
  </conditionalFormatting>
  <dataValidations count="1">
    <dataValidation type="list" allowBlank="1" showInputMessage="1" showErrorMessage="1" sqref="AK2:AK84 AK85:AM87" xr:uid="{555CCA6B-1C7D-40A9-BC3C-110B39618CAA}">
      <formula1>#REF!</formula1>
    </dataValidation>
  </dataValidations>
  <hyperlinks>
    <hyperlink ref="Q20" r:id="rId1" xr:uid="{6269FBB3-E3CF-47BF-BA41-77446F1A4008}"/>
    <hyperlink ref="AN9" r:id="rId2" display="https://announcements.asx.com.au/asxpdf/20210705/pdf/44y0fwc23vzhn0.pdf" xr:uid="{A8BBEFFA-5483-43AF-9D42-EA6C5891FECC}"/>
    <hyperlink ref="AN41" r:id="rId3" display="https://announcements.asx.com.au/asxpdf/20120130/pdf/42408wvsx98cwx.pdf" xr:uid="{1CC7E2ED-AFA7-4B41-B720-F90EBED60F70}"/>
    <hyperlink ref="AT41" r:id="rId4" display="https://announcements.asx.com.au/asxpdf/20120305/pdf/424tngsfvczpzz.pdf" xr:uid="{F7490959-158E-4D93-BB40-F6C91A2D5FDD}"/>
    <hyperlink ref="AW75" r:id="rId5" xr:uid="{86FCE1EA-B770-4200-A29C-E0B3267D522B}"/>
    <hyperlink ref="Q15" r:id="rId6" xr:uid="{E889C597-66DD-4EA7-9780-3B2C8F601690}"/>
    <hyperlink ref="AN15" r:id="rId7" display="https://announcements.asx.com.au/asxpdf/20121126/pdf/42bgzdm703yb4r.pdf" xr:uid="{14BEA2C7-DD13-4F0F-8F1F-EEA53EC60DDD}"/>
    <hyperlink ref="Q5" r:id="rId8" xr:uid="{B3AE7127-706A-405E-B2A6-0DAA42155DA6}"/>
    <hyperlink ref="Q24" r:id="rId9" xr:uid="{0D6FBD06-85F0-4044-9937-E877091AC357}"/>
    <hyperlink ref="Q84" r:id="rId10" xr:uid="{E9569EE8-DFB2-41D4-9B60-D18936B6DD4D}"/>
    <hyperlink ref="Z26" r:id="rId11" display="https://announcements.asx.com.au/asxpdf/20090923/pdf/31kwfdc1y1ffhw.pdf" xr:uid="{A11DF32D-C087-4334-BC88-F1D0C3679038}"/>
    <hyperlink ref="Q14" r:id="rId12" xr:uid="{226FB9E7-1EC4-4F3D-A6BC-4D45E1F28C80}"/>
    <hyperlink ref="AN10" r:id="rId13" display="https://www.aspecthuntley.com.au/asxdata/20110704/pdf/01194592.pdf" xr:uid="{525F5888-CF88-4748-97B7-05AFCD7AE983}"/>
    <hyperlink ref="Q21" r:id="rId14" xr:uid="{20B2D9BD-945C-4234-BDA8-6DC437801E0B}"/>
    <hyperlink ref="Q49" r:id="rId15" xr:uid="{BF057CD0-97B9-4BF5-B2DA-AA0E599740FD}"/>
    <hyperlink ref="Q78" r:id="rId16" xr:uid="{F0F9C48F-36CD-40CF-978C-E90F1714BBD3}"/>
    <hyperlink ref="Q31" r:id="rId17" xr:uid="{8A6C949B-C031-4DCE-913F-D65905BCE10F}"/>
    <hyperlink ref="AV31" r:id="rId18" xr:uid="{04D974DD-EE16-4B99-956E-0FCA4135B86B}"/>
    <hyperlink ref="AN18" r:id="rId19" display="https://announcements.asx.com.au/asxpdf/20240716/pdf/065m4bxtsd5m3b.pdf" xr:uid="{C49E0462-92AA-40EF-BD2F-691E7B2238E6}"/>
    <hyperlink ref="R18" r:id="rId20" xr:uid="{A1C94993-5D60-43BF-AC08-FD75289CE876}"/>
    <hyperlink ref="R21" r:id="rId21" xr:uid="{258C4FD4-9124-4E6D-B3A4-837ED4DFEBA2}"/>
    <hyperlink ref="R10" r:id="rId22" xr:uid="{B9609D08-00E1-493F-BD98-723C7F46781A}"/>
    <hyperlink ref="R14" r:id="rId23" xr:uid="{5FFA6E18-86DB-4D05-914A-A659DBE67A57}"/>
    <hyperlink ref="Q18" r:id="rId24" xr:uid="{28C62247-F0A4-4A0D-B048-BE9A58D63954}"/>
    <hyperlink ref="Q12" r:id="rId25" xr:uid="{C839550A-179E-4D5E-B6C2-D245C2B32D9C}"/>
    <hyperlink ref="R12" r:id="rId26" xr:uid="{3B7836DD-20FB-45DE-86B5-8E68EE2309AB}"/>
    <hyperlink ref="AV12" r:id="rId27" xr:uid="{96879143-0992-4129-BE77-7FA3F7F9782B}"/>
    <hyperlink ref="R25" r:id="rId28" xr:uid="{2D8BD444-5250-4481-BFD1-AEAB07552D5F}"/>
    <hyperlink ref="R26" r:id="rId29" xr:uid="{B37CE06E-7E75-45CA-BD2E-E1AAE31F23D6}"/>
    <hyperlink ref="Q25" r:id="rId30" xr:uid="{E4EED1F6-EB4F-45D2-8F6C-548731B78A7B}"/>
    <hyperlink ref="AV25" r:id="rId31" xr:uid="{A8FF9056-5BA1-4C44-B896-DE58D267F3CF}"/>
    <hyperlink ref="Z25" r:id="rId32" location=":~:text=Metallurgical%20studies%20show%20that%20a,within%20the%20Measured%2FIndicated%20categories." display="https://cashmereiron.com/project-information/history-of-deposit-exploration/ - :~:text=Metallurgical%20studies%20show%20that%20a,within%20the%20Measured%2FIndicated%20categories." xr:uid="{5C65E69B-BABF-48F0-97DD-84C94C6FC773}"/>
    <hyperlink ref="R44" r:id="rId33" xr:uid="{AF190EFD-2786-46F9-93D3-32620BBE65E2}"/>
    <hyperlink ref="R23" r:id="rId34" xr:uid="{F55803DE-5311-4BA3-A1FB-3C2334E7304E}"/>
    <hyperlink ref="Q23" r:id="rId35" xr:uid="{647BA8C0-ACB9-4C6A-9DC8-1E14D0A73086}"/>
    <hyperlink ref="Q44" r:id="rId36" xr:uid="{EBB5931B-F181-4441-BBAF-5480648FA380}"/>
    <hyperlink ref="Q7" r:id="rId37" xr:uid="{D9366251-55A1-42B8-9E65-E3CFF134AF29}"/>
    <hyperlink ref="R7" r:id="rId38" xr:uid="{347F12F2-4DBB-4C43-BB32-4AAD041B56D4}"/>
    <hyperlink ref="AW7" r:id="rId39" display="The project was deffered" xr:uid="{BDEA96E1-A9F3-44B4-9867-7B72F1BD7A91}"/>
    <hyperlink ref="AN35" r:id="rId40" display="https://www.aspecthuntley.com.au/asxdata/20110606/pdf/01186755.pdf" xr:uid="{87DD12D6-2FDB-4E09-B9AB-17B34A326361}"/>
    <hyperlink ref="O35" r:id="rId41" display="https://www.aspecthuntley.com.au/asxdata/20120222/pdf/01271121.pdf" xr:uid="{244784FB-B312-4D27-B2B8-C6EC82F63B30}"/>
    <hyperlink ref="J35" r:id="rId42" display="https://www.aspecthuntley.com.au/asxdata/20111108/pdf/01238683.pdf" xr:uid="{8C4E8CD5-3D02-4867-AAC9-78DB1AA3813F}"/>
    <hyperlink ref="Z35" r:id="rId43" display="https://www.aspecthuntley.com.au/asxdata/20110228/pdf/01156152.pdf" xr:uid="{54234EC0-278C-44AA-8CFC-B5A617E2AF57}"/>
    <hyperlink ref="R35" r:id="rId44" xr:uid="{5DDE5F5B-D0C8-4B1C-BDD3-5D4B32BC3418}"/>
    <hyperlink ref="Q22" r:id="rId45" xr:uid="{78A2381B-A5EC-4B8A-B669-77CA5B6146EB}"/>
    <hyperlink ref="AV22" r:id="rId46" xr:uid="{05A96CE4-3FB4-4D70-BDFD-2A105384C923}"/>
    <hyperlink ref="Q29" r:id="rId47" xr:uid="{23666898-E82B-4AD9-A1D4-1E761BFF30FD}"/>
    <hyperlink ref="R29" r:id="rId48" xr:uid="{E11ADA6C-9964-4D42-9CFD-362CDD563462}"/>
    <hyperlink ref="R33" r:id="rId49" xr:uid="{02B8E803-4F45-4F7B-B1AA-5AA982469DB3}"/>
    <hyperlink ref="Q33" r:id="rId50" xr:uid="{31B78FD7-D291-4F71-B775-810AFE3D0094}"/>
    <hyperlink ref="AV33" r:id="rId51" xr:uid="{39EFB372-8F6C-41D4-A233-C6B11DF0BFBA}"/>
    <hyperlink ref="Q62" r:id="rId52" xr:uid="{6A6C0292-2F51-48F9-AD5B-FAF2CE1508B9}"/>
    <hyperlink ref="R62" r:id="rId53" xr:uid="{6B1A6616-1193-4806-AA96-55BEEEE07A94}"/>
    <hyperlink ref="R37" r:id="rId54" xr:uid="{B6A91705-BF6B-4BA0-B001-CF48A9C88E71}"/>
    <hyperlink ref="AV37" r:id="rId55" xr:uid="{64C49AA9-75E5-43E1-B91D-65DB187F5487}"/>
    <hyperlink ref="AN19" r:id="rId56" display="https://announcements.asx.com.au/asxpdf/20220321/pdf/45767f9j59nd4m.pdf" xr:uid="{14AA4344-EB50-4E2C-8FA1-2BD4E8BA3E9D}"/>
    <hyperlink ref="R19" r:id="rId57" xr:uid="{8717F96F-C716-4086-A212-32B6EE13AC1B}"/>
    <hyperlink ref="AV19" r:id="rId58" xr:uid="{0989E23D-80FC-4F62-8CCB-A2926FB3D90E}"/>
    <hyperlink ref="Q36" r:id="rId59" xr:uid="{A287F986-68FC-42C8-87A9-BF6E9572EB90}"/>
    <hyperlink ref="R36" r:id="rId60" xr:uid="{266A1AD4-0027-4267-88B4-93E8FA8A0E7D}"/>
    <hyperlink ref="AW36" r:id="rId61" xr:uid="{552BED6E-617E-4EAF-916B-E3F8C7302083}"/>
    <hyperlink ref="R49" r:id="rId62" xr:uid="{C79423C0-4848-4FF5-9EC9-524659560D6C}"/>
    <hyperlink ref="R59" r:id="rId63" xr:uid="{625B81D5-8BFC-4BE9-841D-029196A1FA3B}"/>
    <hyperlink ref="Q59" r:id="rId64" xr:uid="{7135D7CA-7408-43CE-99C6-B50B8A38E517}"/>
    <hyperlink ref="Q54" r:id="rId65" xr:uid="{38963447-0ED7-44DC-8D5D-93456BFF6E19}"/>
    <hyperlink ref="R54" r:id="rId66" xr:uid="{2DF8C3C1-C5F5-4D7C-B9C0-E710C13FA32F}"/>
    <hyperlink ref="AV51" r:id="rId67" xr:uid="{EB28FDF0-3995-489E-B0D5-34F37F944EB3}"/>
    <hyperlink ref="Q51" r:id="rId68" xr:uid="{6FF58C88-55E8-4138-955D-8D66240E2014}"/>
    <hyperlink ref="R76" r:id="rId69" xr:uid="{96AC52B5-8B55-4E4E-9D38-EB7F3062A747}"/>
    <hyperlink ref="Q76" r:id="rId70" xr:uid="{2C074F35-1237-4116-A1DA-3F405B19F57B}"/>
    <hyperlink ref="Q68" r:id="rId71" xr:uid="{4074ACFD-72DA-402C-8F64-EDCE7020FB52}"/>
    <hyperlink ref="R68" r:id="rId72" xr:uid="{80C31043-7416-4540-B076-C1B82B3FFDC4}"/>
    <hyperlink ref="AV68" r:id="rId73" xr:uid="{8CEB3687-8651-4B00-81D1-B2432C30D292}"/>
    <hyperlink ref="AN71" r:id="rId74" display="https://www.listcorp.com/asx/ahn/athena-resources-limited/news/scoping-study-byro-fe1-magnetite-project-3033683.html" xr:uid="{F75E83FE-DB48-4C8F-86D9-2D6EB1FB2570}"/>
    <hyperlink ref="Q27" r:id="rId75" xr:uid="{BB2AA01E-292C-4710-AF01-ABDC45B0EC36}"/>
    <hyperlink ref="R27" r:id="rId76" xr:uid="{8503F52F-3A25-4740-B972-B8EF1152AF74}"/>
    <hyperlink ref="R31" r:id="rId77" xr:uid="{9099CF3C-845E-4FF7-8D83-8A43D4AAF5CD}"/>
    <hyperlink ref="R51" r:id="rId78" xr:uid="{0B334993-18DC-4059-BCA7-D14C97383A0C}"/>
    <hyperlink ref="AJ71" r:id="rId79" xr:uid="{E165EDC8-82DC-42C0-A53A-CC9A7509F23B}"/>
    <hyperlink ref="Q83" r:id="rId80" xr:uid="{AAC9D447-1D74-4B80-8553-E286031E1C44}"/>
    <hyperlink ref="R69" r:id="rId81" xr:uid="{EF3D309E-A819-487D-B57A-CBE6EC730C00}"/>
    <hyperlink ref="Q69" r:id="rId82" xr:uid="{38D769C0-FFEC-4800-AFDD-A23297E981B4}"/>
    <hyperlink ref="Q13" r:id="rId83" xr:uid="{C7D8A81F-FB7A-4133-9D77-4E981F7B9A7C}"/>
    <hyperlink ref="R13" r:id="rId84" xr:uid="{2A9D9AD3-43AC-44CD-AC43-30F94B9C7C55}"/>
    <hyperlink ref="AV84" r:id="rId85" xr:uid="{DE0E3C5F-4106-47DA-905E-1F62814397BB}"/>
    <hyperlink ref="Q8" r:id="rId86" xr:uid="{AD6B8F80-1CDF-4ED8-ACC7-EB4081C266B5}"/>
    <hyperlink ref="AV79" r:id="rId87" xr:uid="{C92F895B-1B72-41CF-A961-87C70865F708}"/>
    <hyperlink ref="Q79" r:id="rId88" xr:uid="{EB5CFF13-4642-49E2-AACD-B01C3282DA90}"/>
    <hyperlink ref="Q82" r:id="rId89" xr:uid="{C7DCA5AC-3D57-43BB-9E6F-62FD33384D4F}"/>
    <hyperlink ref="AT73" r:id="rId90" display="https://announcements.asx.com.au/asxpdf/20110411/pdf/41xzkmkwm6grmn.pdf" xr:uid="{8E04397C-5D69-4004-9B13-02AA717FA4B4}"/>
    <hyperlink ref="Q65" r:id="rId91" xr:uid="{8E743E49-9F3B-4576-AF79-4E805256F30E}"/>
    <hyperlink ref="Q56" r:id="rId92" xr:uid="{C776D0D2-BB49-42DF-9B66-22E6F4E11753}"/>
    <hyperlink ref="Q58" r:id="rId93" xr:uid="{723E7DC4-6386-45E0-B12F-5002EE73790D}"/>
    <hyperlink ref="Q63" r:id="rId94" xr:uid="{3545E9C3-9C16-4ABE-8E62-C44F2473BB99}"/>
    <hyperlink ref="Q66" r:id="rId95" xr:uid="{4D76E19F-E41F-4BA5-8CAA-8D6C57BE4B0C}"/>
    <hyperlink ref="Q74" r:id="rId96" xr:uid="{31C00C2D-7A67-4611-9E02-C2D758920718}"/>
    <hyperlink ref="Q81" r:id="rId97" xr:uid="{9189312D-B3F1-40D6-AB41-9BD121D27346}"/>
    <hyperlink ref="AT48" r:id="rId98" display="https://wcsecure.weblink.com.au/pdf/LML/02859106.pdf" xr:uid="{D4AEEB1F-76A5-46FE-8B76-C005A2F01070}"/>
    <hyperlink ref="AT55" r:id="rId99" display="https://wcsecure.weblink.com.au/pdf/LML/02859106.pdf" xr:uid="{0CDD38B7-81FD-4E57-A604-5BC76C792AF7}"/>
    <hyperlink ref="AN28" r:id="rId100" display="https://www.aspecthuntley.com.au/asxdata/20130308/pdf/01389842.pdf" xr:uid="{A7D75957-00E3-4800-90DE-598125D7A73E}"/>
    <hyperlink ref="Q64" r:id="rId101" xr:uid="{00256093-7A35-4A77-94BD-AA21AC2CFF0C}"/>
    <hyperlink ref="Q17" r:id="rId102" xr:uid="{9B565717-634C-41DF-91A8-2EB14918308E}"/>
    <hyperlink ref="Q38" r:id="rId103" xr:uid="{D600CD27-F697-4F2C-9176-3E96F7D03D81}"/>
    <hyperlink ref="Q30" r:id="rId104" xr:uid="{BD5081C6-054C-461C-BB74-48640D2F7AA1}"/>
    <hyperlink ref="Q46" r:id="rId105" xr:uid="{6997034F-2C2F-4C7A-A040-6980BC3B1E10}"/>
    <hyperlink ref="Q40" r:id="rId106" xr:uid="{0EFA94BB-DDD8-44C0-B327-7EF970715B43}"/>
    <hyperlink ref="Q32" r:id="rId107" xr:uid="{D74DE008-2888-4BAF-8E7B-C9417C5DFA28}"/>
    <hyperlink ref="AW32" r:id="rId108" display="https://www.marketindex.com.au/asx/ida/announcements/mt-woods-magnetite-project-snaefell-concept-study-completed-XX601429 " xr:uid="{E311BCBF-58AF-44AC-8C7E-AE915E95C1A0}"/>
    <hyperlink ref="AV34" r:id="rId109" xr:uid="{7DFC650D-4FBB-48F8-99E2-901675254278}"/>
    <hyperlink ref="Q77" r:id="rId110" xr:uid="{5DB46F6A-CE95-4BA2-8751-1E34DC1F52E7}"/>
    <hyperlink ref="AV77" r:id="rId111" xr:uid="{E0D62BA9-F511-47B8-BC21-8943059E05E4}"/>
    <hyperlink ref="Q39" r:id="rId112" xr:uid="{56E547CB-37DC-4CFE-B8EC-791A2D561F67}"/>
    <hyperlink ref="Q70" r:id="rId113" xr:uid="{B7263D46-C2E2-41C7-B752-C80DDDE6E1B8}"/>
    <hyperlink ref="Q72" r:id="rId114" xr:uid="{633A13AC-4542-489F-AEC0-BC7EB93CA984}"/>
    <hyperlink ref="AN20" r:id="rId115" display="https://grange.blob.core.windows.net/public/4370fe56-65a1-400e-8f72-58ed89e6bb98.pdf" xr:uid="{0B01039F-FD4B-4FE1-96C6-8FA58F617353}"/>
    <hyperlink ref="AV20" r:id="rId116" xr:uid="{86D783AA-3395-46F1-ABFD-6CCEBA692A63}"/>
    <hyperlink ref="Q61" r:id="rId117" xr:uid="{05576CF6-72D1-4B7C-AAB4-DD9A14311B6F}"/>
    <hyperlink ref="Q75" r:id="rId118" xr:uid="{596620A6-F074-451A-A4CB-053F8593988A}"/>
    <hyperlink ref="AN75" r:id="rId119" display="https://www.aspecthuntley.com.au/asxdata/20140929/pdf/01556876.pdf" xr:uid="{34F012E6-ED17-42CD-8F04-19BB851626B3}"/>
    <hyperlink ref="AV75" r:id="rId120" xr:uid="{C8445950-FAD9-43CB-9CB7-0AE2F25F2CA1}"/>
    <hyperlink ref="Q43" r:id="rId121" xr:uid="{368B23FC-DF53-4E68-B3B3-763DA7C307DA}"/>
    <hyperlink ref="AV43" r:id="rId122" xr:uid="{A9DBA793-D3DC-4DAD-AC95-D5D250680D8E}"/>
    <hyperlink ref="R45" r:id="rId123" xr:uid="{3B6DCD44-3D2C-4EE0-A78F-0CAA7F7300EE}"/>
    <hyperlink ref="C5" r:id="rId124" xr:uid="{46D5C9D6-88BA-472B-AA2E-0D7FA6EDFF47}"/>
    <hyperlink ref="A5" r:id="rId125" xr:uid="{6D688E7E-9060-4B65-86C9-596CA488C3EA}"/>
    <hyperlink ref="R5" r:id="rId126" xr:uid="{C454125F-626C-46EA-B212-2820C2C55A8C}"/>
    <hyperlink ref="R15" r:id="rId127" xr:uid="{F4F8C36A-A2DD-4322-AD2F-2996A1A805A3}"/>
    <hyperlink ref="R24" r:id="rId128" xr:uid="{D0982385-CF1E-4144-8C79-24011B5084EF}"/>
    <hyperlink ref="Q45" r:id="rId129" xr:uid="{21639379-CCBA-4CD6-B230-8286CD38E992}"/>
    <hyperlink ref="C15" r:id="rId130" xr:uid="{4477B342-7914-432E-B356-523152E78560}"/>
    <hyperlink ref="C4" r:id="rId131" xr:uid="{1930B976-1FF1-47F8-995B-1040104D376E}"/>
    <hyperlink ref="A4" r:id="rId132" xr:uid="{CAC18AE4-B724-40FA-B32C-09897EB4D369}"/>
    <hyperlink ref="R11" r:id="rId133" xr:uid="{C27BDE6A-5EA6-4FC5-98DD-D99A7269AB41}"/>
    <hyperlink ref="AV11" r:id="rId134" xr:uid="{570F10EB-2CCF-4AD1-869A-1F8B2B1B31C6}"/>
    <hyperlink ref="C11" r:id="rId135" xr:uid="{4BC54C7A-30C1-4335-A475-5CB3F18446D0}"/>
    <hyperlink ref="A11" r:id="rId136" xr:uid="{7D4D4269-F297-425D-86BD-CB5802C89588}"/>
    <hyperlink ref="Q11" r:id="rId137" xr:uid="{71100AAB-1152-4F4B-906C-6684AEB63D82}"/>
    <hyperlink ref="A14" r:id="rId138" xr:uid="{7C786A3A-7DE3-4B24-ADB8-C41DB56E19A9}"/>
    <hyperlink ref="A15" r:id="rId139" xr:uid="{7A32E179-2AD3-4400-A0D6-C41D29E618D7}"/>
    <hyperlink ref="C8" r:id="rId140" xr:uid="{B5B2093F-5957-4F13-9D2A-DE102AA1478B}"/>
    <hyperlink ref="A8" r:id="rId141" xr:uid="{942C16B4-0C3B-4A28-B999-0EF73D3BD236}"/>
    <hyperlink ref="C6" r:id="rId142" xr:uid="{E697BE33-C6B5-4BF7-AF96-A5099DD70A18}"/>
    <hyperlink ref="C16" r:id="rId143" xr:uid="{ED4C935B-3779-4E2E-9586-E9AE7D8B5DE0}"/>
    <hyperlink ref="C9" r:id="rId144" xr:uid="{84512FC9-5E1C-44F4-BCA1-5B7F505F41C4}"/>
    <hyperlink ref="A9" r:id="rId145" xr:uid="{834A6A6D-BB46-496A-A4F8-EEB5DF11CE69}"/>
    <hyperlink ref="A16" r:id="rId146" xr:uid="{9DA73D96-058E-43CC-950B-465D0EBABC3A}"/>
    <hyperlink ref="Q9" r:id="rId147" xr:uid="{DDD1F40D-2556-483D-90D5-AA8E13DAE098}"/>
    <hyperlink ref="Q16" r:id="rId148" xr:uid="{B4063A69-BD8F-414A-8518-5816C83E3C89}"/>
    <hyperlink ref="Q6" r:id="rId149" xr:uid="{14829C7A-5995-4F55-8351-9B3BD477E994}"/>
    <hyperlink ref="AV9" r:id="rId150" xr:uid="{597C6142-A83E-48B4-92EE-2A7837E918C5}"/>
    <hyperlink ref="A13" r:id="rId151" location=":~:text=Karara%20comprises%20a%20large%2Dscale%2C%20long%2Dlife%20magnetite%20orebody,a%20high%2Dgrade%20(+65%25%20Fe)%20concentrate%20for%20steelmaking. " xr:uid="{91312EAA-1A8F-41E6-BB21-E0D8C613782D}"/>
    <hyperlink ref="C13" r:id="rId152" xr:uid="{C6B8A3EC-9668-45F8-82C0-DEFBA3BBA395}"/>
    <hyperlink ref="A12" r:id="rId153" xr:uid="{CCB2C594-049A-48DA-B143-9B3419E98E40}"/>
    <hyperlink ref="C12" r:id="rId154" xr:uid="{B97C0337-3F77-4716-8535-BD4B54DEFD8E}"/>
    <hyperlink ref="A7" r:id="rId155" xr:uid="{B9D3512D-7A3D-4B5E-9936-311EBB24EA80}"/>
    <hyperlink ref="C7" r:id="rId156" xr:uid="{EFBD038B-6E50-4531-9B12-09DCD6FCE16B}"/>
    <hyperlink ref="C20" r:id="rId157" xr:uid="{FCD7DBEC-AA90-4F3D-A79F-260085382670}"/>
    <hyperlink ref="A20" r:id="rId158" xr:uid="{9E6EE7B2-0299-476E-8AB1-D1F61CC8FFAB}"/>
    <hyperlink ref="AV26" r:id="rId159" xr:uid="{40B38739-B11D-4EAC-A332-DF85048F90E8}"/>
    <hyperlink ref="A25" r:id="rId160" xr:uid="{543FEC25-3D32-45C6-B907-38E064718278}"/>
    <hyperlink ref="C25" r:id="rId161" xr:uid="{856843B0-ABFF-4997-BCB8-60E00169FECA}"/>
    <hyperlink ref="Q28" r:id="rId162" xr:uid="{292BAB8C-2999-4A5A-B16B-632D696929D9}"/>
    <hyperlink ref="Q35" r:id="rId163" xr:uid="{498E4AB6-94D0-4D0C-85F6-6FA9D8A7A8F3}"/>
    <hyperlink ref="AV35" r:id="rId164" xr:uid="{69BD604D-8A58-4B34-9BFE-2E0121A9DA13}"/>
    <hyperlink ref="AV24" r:id="rId165" xr:uid="{4D35C236-7EE3-4105-B902-D877D48389FF}"/>
    <hyperlink ref="C22" r:id="rId166" xr:uid="{B10CF119-5A37-4F2B-A19D-F819AF0551BC}"/>
    <hyperlink ref="A22" r:id="rId167" xr:uid="{3E777525-BE87-443F-B8EB-7F252D9E5753}"/>
    <hyperlink ref="Q34" r:id="rId168" xr:uid="{3B375ACA-4077-470B-9230-EF2C857F6D27}"/>
    <hyperlink ref="A32" r:id="rId169" xr:uid="{A34C119C-39C0-47C9-A178-A09DAD3AC100}"/>
    <hyperlink ref="A43" r:id="rId170" xr:uid="{D3F75BE1-B096-4F83-82CA-C539F5AE08B1}"/>
    <hyperlink ref="A23" r:id="rId171" xr:uid="{5165DAD1-0A0F-4351-81F0-39CC455B5E57}"/>
    <hyperlink ref="A29" r:id="rId172" xr:uid="{4FBD14A2-5976-4D33-A0E9-DC2B097C900A}"/>
    <hyperlink ref="Z43" r:id="rId173" display="https://cdn-api.markitdigital.com/apiman-gateway/ASX/asx-research/1.0/file/2995-01734869-6A761286?access_token=83ff96335c2d45a094df02a206a39ff4" xr:uid="{95C217F0-31B7-4D04-ADC9-11F261E4090E}"/>
    <hyperlink ref="C32" r:id="rId174" xr:uid="{7F6A4958-BEDB-4AE9-9A08-F02560A2EAFA}"/>
    <hyperlink ref="C27" r:id="rId175" xr:uid="{2EBAFEAF-3EFA-49DE-9EF2-F41A0C7ABBF6}"/>
    <hyperlink ref="C43" r:id="rId176" xr:uid="{9ABC6CEC-5B69-45D7-9686-2B701BA444C4}"/>
    <hyperlink ref="C23" r:id="rId177" xr:uid="{2012868F-F9AE-4BBE-858A-149515F324FC}"/>
    <hyperlink ref="C62" r:id="rId178" xr:uid="{0C0B7381-024A-4854-8DF3-000BE00E6C44}"/>
    <hyperlink ref="C47" r:id="rId179" xr:uid="{EF8C5A91-4312-4DC8-9195-2294F66F351E}"/>
    <hyperlink ref="A47" r:id="rId180" xr:uid="{AEB614F7-3972-435F-A7EB-209B8D25E8E5}"/>
    <hyperlink ref="C57" r:id="rId181" xr:uid="{5BE94142-6BFA-4C6D-91A7-F11733910AC2}"/>
    <hyperlink ref="A57" r:id="rId182" xr:uid="{5DB6872E-B2A9-46D3-B2E9-E170B3194379}"/>
    <hyperlink ref="Q57" r:id="rId183" xr:uid="{E13B9CF1-2FD9-4170-90C8-30F80ECA02AA}"/>
    <hyperlink ref="AW57" r:id="rId184" xr:uid="{BC738F4B-963E-4CDB-8427-D5ECDF8428D9}"/>
    <hyperlink ref="C41" r:id="rId185" xr:uid="{0ABC1797-EA44-4532-B95E-CBDD4CB6E1B1}"/>
    <hyperlink ref="A41" r:id="rId186" xr:uid="{FF71C399-A594-478A-AFAE-986B23568A3F}"/>
    <hyperlink ref="C30" r:id="rId187" xr:uid="{980E0D63-98EE-48C4-8B4A-B6A4E19D0B34}"/>
    <hyperlink ref="AV61" r:id="rId188" xr:uid="{CEE1BEDD-5336-46BC-AAAD-9D7D78B82965}"/>
    <hyperlink ref="C75" r:id="rId189" xr:uid="{5A5D9ED6-9B48-42F4-9D44-EC2569922BD8}"/>
    <hyperlink ref="A75" r:id="rId190" xr:uid="{EC4F75C5-5B59-4EED-98D6-4D173A8A7043}"/>
    <hyperlink ref="A78" r:id="rId191" xr:uid="{28A81CE0-F4D0-4AC0-BB1F-A9BAFAFE960F}"/>
    <hyperlink ref="C71" r:id="rId192" xr:uid="{3C74405E-E17D-4D8B-8150-60558FFE5078}"/>
    <hyperlink ref="A71" r:id="rId193" xr:uid="{A6CD86CD-A076-4ED0-8C82-C612D3787606}"/>
    <hyperlink ref="AV38" r:id="rId194" xr:uid="{9687C0C2-D6C6-4823-92D4-E5E28283C2F3}"/>
    <hyperlink ref="Q37" r:id="rId195" xr:uid="{600FDF84-96CB-41FF-AEF5-D84D759F54A1}"/>
    <hyperlink ref="C19" r:id="rId196" xr:uid="{22482C25-CA08-47CD-AFDB-DEBF9F323A59}"/>
    <hyperlink ref="C36" r:id="rId197" xr:uid="{B1A3000A-2ADE-442D-8348-461360FEB9CD}"/>
    <hyperlink ref="A36" r:id="rId198" xr:uid="{61AE92AD-17F5-42F3-9605-6DEFD364BD5A}"/>
    <hyperlink ref="A17" r:id="rId199" xr:uid="{5FAD41BC-B21A-446A-87FC-9636A7C80C37}"/>
    <hyperlink ref="C48" r:id="rId200" xr:uid="{227FD129-0B56-4A4D-9B53-9665FD510F08}"/>
    <hyperlink ref="C52" r:id="rId201" xr:uid="{F116F5C0-9C8C-4990-9767-C4BA786D78DF}"/>
    <hyperlink ref="C50" r:id="rId202" xr:uid="{364A07AF-0909-42C7-99C8-CBCE03743CB6}"/>
    <hyperlink ref="C55" r:id="rId203" xr:uid="{67A21EF4-F35E-403C-801A-369CD90F09CA}"/>
    <hyperlink ref="C58" r:id="rId204" xr:uid="{931B0660-F983-4BDB-AD76-84BBCCD664D8}"/>
    <hyperlink ref="C63" r:id="rId205" xr:uid="{DB26897B-D9E7-41D4-8054-BB4F9773DD23}"/>
    <hyperlink ref="C66" r:id="rId206" xr:uid="{2A32B984-CD86-468D-B879-578116576835}"/>
    <hyperlink ref="C74" r:id="rId207" xr:uid="{6DC3554D-D972-4FEA-8629-53167076F4C9}"/>
    <hyperlink ref="C81" r:id="rId208" xr:uid="{217171C1-6064-4745-B625-CC8A3A33EB67}"/>
    <hyperlink ref="A48" r:id="rId209" xr:uid="{2A2D8796-79B5-4859-BB80-6D04A3A954DF}"/>
    <hyperlink ref="A52" r:id="rId210" xr:uid="{695E083B-8EC8-4680-A982-794238566E94}"/>
    <hyperlink ref="A50" r:id="rId211" xr:uid="{42CCD292-7DE9-4BD5-9430-C8C113B19D06}"/>
    <hyperlink ref="A55" r:id="rId212" xr:uid="{52B3CED3-B6BA-4337-BA90-A2880D0950F5}"/>
    <hyperlink ref="A58" r:id="rId213" xr:uid="{0F515411-5C63-4850-AC38-29D72CFCAF4E}"/>
    <hyperlink ref="A63" r:id="rId214" xr:uid="{5D4CF962-868E-406B-BAAD-3433F69E2E51}"/>
    <hyperlink ref="A66" r:id="rId215" xr:uid="{8C849B2E-1A6C-4CDA-8C6F-7286359D80B6}"/>
    <hyperlink ref="A74" r:id="rId216" xr:uid="{F51F573A-F236-43D6-97AF-435986409DD0}"/>
    <hyperlink ref="A81" r:id="rId217" xr:uid="{FBE1F127-52C3-48C7-889A-BDBABEE9CA71}"/>
    <hyperlink ref="Q48" r:id="rId218" xr:uid="{860854BA-355E-4112-8BE2-63AD278A390B}"/>
    <hyperlink ref="Q52" r:id="rId219" xr:uid="{23A35733-A3A6-418E-9158-D14EBFEB44F6}"/>
    <hyperlink ref="Q50" r:id="rId220" xr:uid="{B702A5F5-0FB0-4153-AE53-EC52BAAD51FF}"/>
    <hyperlink ref="Q55" r:id="rId221" xr:uid="{93BF7B66-5EF0-4D94-9FF5-3A05A2AF5AC7}"/>
    <hyperlink ref="AV48" r:id="rId222" xr:uid="{ECBCF6C2-3950-4047-A59E-08D5E75DDFA3}"/>
    <hyperlink ref="AV52" r:id="rId223" xr:uid="{EB54A4E9-DA8D-48E8-9792-E07E44B57BAE}"/>
    <hyperlink ref="AV50" r:id="rId224" xr:uid="{20D125A1-B7F1-4EB0-A0E7-A7761BCC2D11}"/>
    <hyperlink ref="AV55" r:id="rId225" xr:uid="{BB27C6AA-7F87-4802-901C-A30059B375FB}"/>
    <hyperlink ref="AV58" r:id="rId226" xr:uid="{5D8A23E8-C7F8-4AA1-96A6-A8778E301EA6}"/>
    <hyperlink ref="AV63" r:id="rId227" xr:uid="{C75304DD-F48F-44FD-967E-C772D4582765}"/>
    <hyperlink ref="AV66" r:id="rId228" xr:uid="{C4D55C35-C3EB-4171-A783-EEFFA953CE59}"/>
    <hyperlink ref="AV74" r:id="rId229" xr:uid="{6EC0C914-7EE7-49C4-81B9-A955E695E604}"/>
    <hyperlink ref="AJ63" r:id="rId230" xr:uid="{AE5E4C18-F697-4FFA-B39D-43B429D18D39}"/>
    <hyperlink ref="A59" r:id="rId231" xr:uid="{25186B19-0D15-4FC2-B966-6CDFC7C7378A}"/>
    <hyperlink ref="C59" r:id="rId232" xr:uid="{0F8A267C-F6FB-4438-A4C1-B002D70C9238}"/>
    <hyperlink ref="C54" r:id="rId233" xr:uid="{D65C7412-1E37-4263-BD44-69355540AF00}"/>
    <hyperlink ref="A54" r:id="rId234" xr:uid="{188CF394-1DB0-48B9-BCCA-7AA93A57FD80}"/>
    <hyperlink ref="A51" r:id="rId235" xr:uid="{D108B995-C299-484E-ADAA-0962884E8A95}"/>
    <hyperlink ref="C51" r:id="rId236" xr:uid="{3CE70231-0841-4137-90D0-216B9E3AE078}"/>
    <hyperlink ref="C39" r:id="rId237" xr:uid="{1E5C27ED-1AEE-4FD5-9CDA-BC5AD4DA210C}"/>
    <hyperlink ref="A39" r:id="rId238" xr:uid="{A1094501-4D1D-43E0-AE2B-BD7900F49A02}"/>
    <hyperlink ref="C31" r:id="rId239" xr:uid="{37FF660F-AA92-40A1-BEAD-24A9B468BD95}"/>
    <hyperlink ref="A31" r:id="rId240" xr:uid="{041AF2A5-BC3E-40F8-804E-5F5E15E1FF79}"/>
    <hyperlink ref="A79" r:id="rId241" location=":~:text=Peko%20Magnetite%2C%20Gold%20%26%20Polymetallic,stockpiled%20gold%2Dbearing%20ore%20resources.&amp;text=stockpile%20area. " xr:uid="{FC87FD7F-2B76-442D-B2E8-ECA56FD54711}"/>
    <hyperlink ref="C79" r:id="rId242" xr:uid="{06E90D9B-2883-4D48-A441-6A2C1F86FBFE}"/>
    <hyperlink ref="C78" r:id="rId243" xr:uid="{D7F84028-F349-4B7F-8667-38E1626A3D02}"/>
    <hyperlink ref="Q10" r:id="rId244" xr:uid="{DA0E71E4-62F4-4571-AED6-44E845A09093}"/>
    <hyperlink ref="A10" r:id="rId245" xr:uid="{F6F1D47D-28FA-4ED0-8849-EBB7F7094DCC}"/>
    <hyperlink ref="C10" r:id="rId246" xr:uid="{55627FCF-4C83-414F-B96E-4C067CFDD3D8}"/>
    <hyperlink ref="C76" r:id="rId247" xr:uid="{CAB9E171-32E6-4AD5-B325-B07C0F1642A5}"/>
    <hyperlink ref="A84" r:id="rId248" xr:uid="{1AA50F3C-E9F6-4A0C-8032-1CB7B3B7F0F2}"/>
    <hyperlink ref="C84" r:id="rId249" xr:uid="{543D4BF2-4187-4E95-861E-91EECCFBD145}"/>
    <hyperlink ref="R71" r:id="rId250" xr:uid="{EA508E46-DA2D-4403-87A0-4D159BE6C6B8}"/>
    <hyperlink ref="C64" r:id="rId251" xr:uid="{914BA18A-15D6-4E97-851A-F01B6F1A086B}"/>
    <hyperlink ref="Q67" r:id="rId252" xr:uid="{2802DBF0-E9A9-4646-B2BB-25A8AEE91B38}"/>
    <hyperlink ref="C70" r:id="rId253" xr:uid="{7C168393-E847-43A5-A10E-E4163C6234FC}"/>
    <hyperlink ref="A70" r:id="rId254" xr:uid="{3CFA2C82-6E92-45C5-A6AF-B0E3E8EC4E0A}"/>
    <hyperlink ref="C77" r:id="rId255" xr:uid="{C49FEE4C-63D3-4EDC-990C-B3CFE8808550}"/>
    <hyperlink ref="A77" r:id="rId256" xr:uid="{60AE8D99-238B-4951-8D1E-82C1FA9CCC8A}"/>
    <hyperlink ref="C72" r:id="rId257" xr:uid="{4EEFC449-F6C6-456C-87BD-838D69C60DF8}"/>
    <hyperlink ref="Q41" r:id="rId258" xr:uid="{4BAB911D-04AC-43FC-BC2C-57AFBEB27C68}"/>
    <hyperlink ref="Q4" r:id="rId259" xr:uid="{35FEC16D-F27D-45AA-997D-8666DE99D52A}"/>
    <hyperlink ref="C80" r:id="rId260" xr:uid="{A3F5D120-5B86-47BB-96C5-18200B80E4F7}"/>
    <hyperlink ref="Q80" r:id="rId261" xr:uid="{796AD912-5850-449D-A331-1D1DCC485591}"/>
    <hyperlink ref="A18" r:id="rId262" xr:uid="{835E8AD3-3014-43CE-904B-025A864B217B}"/>
    <hyperlink ref="C18" r:id="rId263" xr:uid="{46EEEA08-F847-4032-A201-628377F2E5EC}"/>
    <hyperlink ref="AJ31" r:id="rId264" xr:uid="{C1361590-8DCC-410C-B3B1-46F19654B517}"/>
    <hyperlink ref="AJ51" r:id="rId265" xr:uid="{945AE3DF-51C3-465A-B3E5-781EBE42D040}"/>
    <hyperlink ref="A80" r:id="rId266" xr:uid="{DD39FA26-7199-4F59-8402-6ED49183796F}"/>
    <hyperlink ref="AJ80" r:id="rId267" xr:uid="{39AEDB26-B4D7-41A3-B0C8-31CC1A6452CF}"/>
    <hyperlink ref="AJ20" r:id="rId268" xr:uid="{AE132D3C-CFD5-4DA9-9577-61FCECEA0447}"/>
    <hyperlink ref="AJ78" r:id="rId269" xr:uid="{753796B0-D0D2-4E24-908A-FA39629CC5B4}"/>
    <hyperlink ref="AJ39" r:id="rId270" xr:uid="{A890FA20-EA3B-4412-8A8B-191D6411E770}"/>
    <hyperlink ref="AJ81" r:id="rId271" xr:uid="{2EC96128-1DAD-423C-A928-A9A9636CBA80}"/>
    <hyperlink ref="AJ54" r:id="rId272" xr:uid="{3851815B-8285-4101-82A4-8F306D9B86B8}"/>
    <hyperlink ref="AJ79" r:id="rId273" xr:uid="{1551C41D-1685-4D93-BFC8-AFB0AF69A068}"/>
    <hyperlink ref="AJ23" r:id="rId274" xr:uid="{5516930D-AF38-4EDF-BC23-A4EC558E1D3A}"/>
    <hyperlink ref="AJ7" r:id="rId275" xr:uid="{212744C7-61B5-4B04-B012-F8D9CCDED311}"/>
    <hyperlink ref="AJ34" r:id="rId276" xr:uid="{3F5D6968-714D-4946-974C-BE6A93D72553}"/>
    <hyperlink ref="AJ22" r:id="rId277" xr:uid="{B095D4B8-C166-4ACE-B3F6-C59E9EC632D2}"/>
    <hyperlink ref="AJ75" r:id="rId278" xr:uid="{42727E68-2317-4467-9B0C-9B82B479D9E0}"/>
    <hyperlink ref="AJ77" r:id="rId279" xr:uid="{3D922A5A-E58C-4A92-A890-01656146C88E}"/>
    <hyperlink ref="AJ12" r:id="rId280" xr:uid="{4435574C-5B37-4E55-A2C0-438DF1D56F86}"/>
    <hyperlink ref="AJ18" r:id="rId281" xr:uid="{771DAEF2-EE33-4950-9C5E-CC76D61CB43A}"/>
    <hyperlink ref="AJ33" r:id="rId282" xr:uid="{8BA6C299-E513-486E-A5DA-8E1C7964004F}"/>
    <hyperlink ref="AJ57" r:id="rId283" xr:uid="{5B717686-B8FC-4C9A-B67F-52CB72E9B170}"/>
    <hyperlink ref="AJ21" r:id="rId284" xr:uid="{4E00C19A-38AC-4640-84A1-F8E8E4E52970}"/>
    <hyperlink ref="AJ36" r:id="rId285" xr:uid="{A6349863-7314-4484-BC69-6C7BC440E48C}"/>
    <hyperlink ref="AJ29" r:id="rId286" xr:uid="{988213AD-CACF-4696-9FED-D9A1DCD004F0}"/>
    <hyperlink ref="AJ52" r:id="rId287" xr:uid="{729B84D2-0E04-40D7-81B1-F2AC5689346F}"/>
    <hyperlink ref="AJ66" r:id="rId288" xr:uid="{01814437-6801-42CE-83A3-1178D05BEF6E}"/>
    <hyperlink ref="AJ37" r:id="rId289" xr:uid="{5F843E6E-4180-44C9-A238-F201AE1DD774}"/>
    <hyperlink ref="AJ38" r:id="rId290" xr:uid="{17216535-2490-400B-A01D-E49FC5E2941E}"/>
    <hyperlink ref="AJ10" r:id="rId291" xr:uid="{B59D982E-BFA5-4697-B13D-6E2DB3280702}"/>
    <hyperlink ref="AJ35" r:id="rId292" xr:uid="{30608B70-5AAE-4737-81B1-5BE6E2380C53}"/>
    <hyperlink ref="AJ58" r:id="rId293" xr:uid="{C96E2884-105F-426E-A9B5-818D44D4357D}"/>
    <hyperlink ref="AJ8" r:id="rId294" xr:uid="{CDAD1991-B307-4967-A0B1-B5E63E63D01C}"/>
    <hyperlink ref="AJ61" r:id="rId295" xr:uid="{7BA33759-C433-4262-9F60-BABF9275CA61}"/>
    <hyperlink ref="AJ67" r:id="rId296" xr:uid="{A95780D8-74C1-4FDC-B5CE-E4A721558648}"/>
    <hyperlink ref="AJ28" r:id="rId297" xr:uid="{06983315-04E6-419E-B3A3-BD41226F33E3}"/>
    <hyperlink ref="AJ4" r:id="rId298" xr:uid="{2C7B704A-3CFC-44E9-A227-1F74CCAB1801}"/>
    <hyperlink ref="AJ14" r:id="rId299" xr:uid="{B7369CF9-C258-4DB9-8824-5E6471CB4E86}"/>
    <hyperlink ref="AJ44" r:id="rId300" xr:uid="{B3FBE06D-E169-4474-8567-654C3B3DDE42}"/>
    <hyperlink ref="AJ64" r:id="rId301" xr:uid="{EB28A025-17EA-4F1D-A4DF-B2B364EEAE52}"/>
    <hyperlink ref="AJ62" r:id="rId302" xr:uid="{EE88F705-5DB3-462B-A4E0-9CC2D5D886E3}"/>
    <hyperlink ref="AJ25" r:id="rId303" location=":~:text=Metallurgical%20studies%20show%20that%20a,within%20the%20Measured%2FIndicated%20categories. " xr:uid="{51FAC6D5-6A21-43B5-A3F5-5B4AE6AE2744}"/>
    <hyperlink ref="AJ55" r:id="rId304" xr:uid="{E9D1BE85-8196-4EEC-B1CC-8D35A6782201}"/>
    <hyperlink ref="AJ11" r:id="rId305" xr:uid="{49D60CD5-0C1B-4238-8942-12AB14681566}"/>
    <hyperlink ref="AJ46" r:id="rId306" xr:uid="{7E0CBECA-4BE4-42CD-BABF-162AB529D885}"/>
    <hyperlink ref="AJ68" r:id="rId307" xr:uid="{9BCCC7A3-325A-48E9-9952-8C8019BE9C24}"/>
    <hyperlink ref="AJ40" r:id="rId308" xr:uid="{A7FC9C08-3337-407B-9814-0FB62C7482EF}"/>
    <hyperlink ref="AJ50" r:id="rId309" xr:uid="{26B39B45-42D0-474B-970B-D8C893DFA9E5}"/>
    <hyperlink ref="AJ45" r:id="rId310" xr:uid="{0600040C-91CF-4C5A-8790-55AC11A93054}"/>
    <hyperlink ref="AJ26" r:id="rId311" xr:uid="{EC16D109-813A-4540-B62C-7DA258E53806}"/>
    <hyperlink ref="AJ15" r:id="rId312" xr:uid="{19C7BF01-E418-4030-856B-5502C7E26082}"/>
    <hyperlink ref="AJ43" r:id="rId313" xr:uid="{B6535776-A99A-4AAD-9B73-AB1C9AF16AE3}"/>
    <hyperlink ref="AV47" r:id="rId314" xr:uid="{CDC503A2-583B-4F75-B61B-56F08B9F5164}"/>
    <hyperlink ref="AV30" r:id="rId315" xr:uid="{4C3A95DA-60A0-45A5-9121-2F913925AF18}"/>
    <hyperlink ref="AV56" r:id="rId316" xr:uid="{60501718-AC33-4D57-B9DE-86EC1225203E}"/>
    <hyperlink ref="AV6" r:id="rId317" xr:uid="{B914CEC0-97A7-434B-BC72-997FA198178D}"/>
    <hyperlink ref="AV36" r:id="rId318" xr:uid="{BFA019CF-B431-40E1-AF0F-0AAB5BC6A35A}"/>
    <hyperlink ref="AJ59" r:id="rId319" xr:uid="{045DC24B-F7D6-453E-BAA5-2A3D2011116B}"/>
    <hyperlink ref="AJ41" r:id="rId320" xr:uid="{0AAEACFF-575C-44C1-9FD7-C72E9AEA9C89}"/>
    <hyperlink ref="R20" r:id="rId321" xr:uid="{2A76CB2F-E5D7-4B85-8752-ADE7EF8A2C03}"/>
    <hyperlink ref="R83" r:id="rId322" xr:uid="{C75C98B0-91D4-4D34-BD43-005F5E3D9378}"/>
    <hyperlink ref="AJ42" r:id="rId323" xr:uid="{5B16828E-90AA-4704-ABBE-B7D1CCEDA08C}"/>
    <hyperlink ref="Q42" r:id="rId324" xr:uid="{5656D734-01C1-4E2E-B896-46D72242DA7D}"/>
    <hyperlink ref="AN42" r:id="rId325" display="https://announcements.asx.com.au/asxpdf/20111216/pdf/4239v45c02k79t.pdf" xr:uid="{E126318A-11CC-4AAD-888C-A187873005DB}"/>
    <hyperlink ref="A53" r:id="rId326" xr:uid="{43FD59FB-2D3B-4330-9B7B-84D87F5D2277}"/>
    <hyperlink ref="Q53" r:id="rId327" xr:uid="{7C9ED543-40E2-48EE-B389-E8E39EFDAF74}"/>
    <hyperlink ref="AV53" r:id="rId328" xr:uid="{60B266F9-0EC4-441D-A578-5709CE16CCB2}"/>
    <hyperlink ref="R42" r:id="rId329" xr:uid="{F5ED9B57-E3FA-479A-BE1F-AE0B53640E18}"/>
    <hyperlink ref="R53" r:id="rId330" xr:uid="{C9C4C6EF-A222-44CA-8E37-8F20A72C51C0}"/>
    <hyperlink ref="AJ53" r:id="rId331" xr:uid="{A4E6461E-B292-46A4-B930-146D10E506B5}"/>
    <hyperlink ref="C53" r:id="rId332" xr:uid="{00968F65-5253-433D-B3C6-9778E1E89285}"/>
    <hyperlink ref="AN32" r:id="rId333" display="https://www.marketindex.com.au/asx/ida/announcements/mt-woods-scoping-study-demonstrates-development-potential-XX637657" xr:uid="{42AA9CDD-9068-414C-A43A-E692D8C239BC}"/>
    <hyperlink ref="AJ32" r:id="rId334" xr:uid="{0536324C-E9C9-4642-847A-F04EACEE4893}"/>
    <hyperlink ref="AV32" r:id="rId335" xr:uid="{C2557F18-9748-4C9F-AA2B-24559F91C027}"/>
    <hyperlink ref="C60" r:id="rId336" xr:uid="{4752819C-DC08-4370-8F12-9D41FB986B38}"/>
    <hyperlink ref="A60" r:id="rId337" xr:uid="{09D16CE8-1D02-4A55-8C43-E04FACFD4E6E}"/>
    <hyperlink ref="Q60" r:id="rId338" xr:uid="{D70938D2-0334-46AC-B9A8-BAA2244052EB}"/>
    <hyperlink ref="R60" r:id="rId339" xr:uid="{23B4C8DC-DAE1-4C68-A9B8-C4242D5F2FA1}"/>
    <hyperlink ref="AJ60" r:id="rId340" xr:uid="{65F570F4-012E-476F-B792-5CE30FD9EF4E}"/>
    <hyperlink ref="AN14" r:id="rId341" display="https://www.mtgibsoniron.com.au/wp-content/uploads/060221-Extension-Hill-Magnetite-Project.pdf" xr:uid="{B33A9C0E-D481-4223-8679-58DF3AFCB321}"/>
    <hyperlink ref="AV14" r:id="rId342" xr:uid="{D1AC9DC4-35B6-4258-B006-58AD3CFFBD09}"/>
    <hyperlink ref="AL31" r:id="rId343" xr:uid="{63F237F8-B928-4A8B-A45D-EB9FAEB1A589}"/>
    <hyperlink ref="AL20" r:id="rId344" xr:uid="{1F2FE962-F8F5-4C31-893F-2D80F69EEF30}"/>
    <hyperlink ref="AL18" r:id="rId345" xr:uid="{25A8F007-14A3-45A6-AE2C-B033C7FC5B62}"/>
    <hyperlink ref="AL17" r:id="rId346" xr:uid="{9A81E5CE-76CB-449D-A814-4F2A82AB1E2D}"/>
    <hyperlink ref="R17" r:id="rId347" xr:uid="{F1B4E4E4-EF54-4790-9BE5-915F6593EBF8}"/>
    <hyperlink ref="R47" r:id="rId348" xr:uid="{04492962-95B7-45CE-8F2B-301DD65C5302}"/>
    <hyperlink ref="R46" r:id="rId349" xr:uid="{94A985CF-CF27-49D7-A588-D2FF04DA2315}"/>
    <hyperlink ref="R52" r:id="rId350" xr:uid="{8342867D-8BCF-405A-93AE-8D4E0CBA130A}"/>
    <hyperlink ref="R81" r:id="rId351" xr:uid="{B793C09B-8EE8-4DDB-8C5E-7922391660C4}"/>
    <hyperlink ref="R66" r:id="rId352" xr:uid="{8E529AE4-ED3E-41FD-840F-A27E78910DAA}"/>
    <hyperlink ref="R74" r:id="rId353" xr:uid="{F85744AC-F1DA-4F32-8FA7-4E8C73DF1FDF}"/>
    <hyperlink ref="R55" r:id="rId354" xr:uid="{78097A76-F663-489B-A7BC-5CF545C4CB3F}"/>
    <hyperlink ref="R50" r:id="rId355" xr:uid="{22C6DA66-4753-4AD7-B2BB-E07FA4D81247}"/>
    <hyperlink ref="R63" r:id="rId356" xr:uid="{E7BBEE87-999F-4DEF-ABE0-1921B6EA2313}"/>
    <hyperlink ref="R48" r:id="rId357" xr:uid="{6351B46F-BBBC-455E-852B-163A282FD171}"/>
    <hyperlink ref="R65" r:id="rId358" xr:uid="{40B218C9-E62B-444E-A4FA-8189DDAA42E4}"/>
    <hyperlink ref="R32" r:id="rId359" xr:uid="{1545F5D3-4565-44FB-8752-F25187AA7F09}"/>
    <hyperlink ref="R9" r:id="rId360" xr:uid="{67E67CFD-A44D-42A2-BA38-70C07B027449}"/>
    <hyperlink ref="R34" r:id="rId361" xr:uid="{ED865D3F-D7EC-463D-8F5F-CCDCC6F3276E}"/>
    <hyperlink ref="R22" r:id="rId362" xr:uid="{DBB65A5D-F753-45C6-BEDC-5DBADF56E45A}"/>
    <hyperlink ref="R16" r:id="rId363" xr:uid="{20A3BCD8-5456-4B61-9059-86400882C3F3}"/>
    <hyperlink ref="R57" r:id="rId364" xr:uid="{0B455F2B-B033-4143-986B-77269EB85C1A}"/>
    <hyperlink ref="R38" r:id="rId365" xr:uid="{E069165D-2ACE-49F0-87A1-76E06F053386}"/>
    <hyperlink ref="R6" r:id="rId366" xr:uid="{214438F1-95DB-4AAC-AA86-F3D6EEC33BB1}"/>
    <hyperlink ref="R56" r:id="rId367" xr:uid="{909810BE-D6A1-4424-9AAD-81D7A9B2DB22}"/>
    <hyperlink ref="R30" r:id="rId368" xr:uid="{1D327835-EB1A-4FF4-8B34-DDE142DBD55D}"/>
    <hyperlink ref="R67" r:id="rId369" xr:uid="{60DCD754-089A-4432-B5D1-CF209BA00CEA}"/>
    <hyperlink ref="R28" r:id="rId370" xr:uid="{6982D192-4002-47FB-BCBB-3A8FA87E3F51}"/>
    <hyperlink ref="R64" r:id="rId371" xr:uid="{C87A5A9E-43D7-46AE-88F4-CA562956C840}"/>
    <hyperlink ref="R40" r:id="rId372" xr:uid="{EE174B14-A698-401B-AC3A-B73D84C7360D}"/>
    <hyperlink ref="C65" r:id="rId373" xr:uid="{56DDB9CD-F260-4D5F-BBB8-8F9EE2F9CDB5}"/>
    <hyperlink ref="AL65" r:id="rId374" xr:uid="{59FAF438-7143-41C7-8389-2BB3CEB6BC15}"/>
    <hyperlink ref="AJ65" r:id="rId375" xr:uid="{2B990EAC-08A4-4B1C-BC9D-929A53758A12}"/>
    <hyperlink ref="AV65" r:id="rId376" xr:uid="{3D45EFDF-3DF4-46C5-AC20-51FD6C56A58F}"/>
    <hyperlink ref="AL30" r:id="rId377" xr:uid="{72B15A7C-1221-4A77-BA8B-AAC2DF985116}"/>
    <hyperlink ref="AL9" r:id="rId378" xr:uid="{E2504F47-B6EA-4665-A279-D1404698B9D9}"/>
    <hyperlink ref="AJ30" r:id="rId379" xr:uid="{F84090A0-A9D6-4DE0-B80A-48816427C9EF}"/>
    <hyperlink ref="AL81" r:id="rId380" xr:uid="{4D7833CB-2237-4734-BD40-A18FD8DDC889}"/>
    <hyperlink ref="AL52" r:id="rId381" xr:uid="{9EA08D56-78E3-4E72-974E-163CF2CE11BA}"/>
    <hyperlink ref="AL66" r:id="rId382" xr:uid="{663B9F72-23E6-4388-9D37-7A82FD3A7E91}"/>
    <hyperlink ref="AL58" r:id="rId383" xr:uid="{51BCD586-250D-4A18-8727-67222C848A47}"/>
    <hyperlink ref="AL74" r:id="rId384" xr:uid="{109E7F36-C0F8-4CFA-8779-E76DA18F930A}"/>
    <hyperlink ref="AL55" r:id="rId385" xr:uid="{5E0A3677-5318-4413-9F85-52D9336F9D1C}"/>
    <hyperlink ref="AL50" r:id="rId386" xr:uid="{23AB35BA-7601-4708-A967-42C761B0AFD7}"/>
    <hyperlink ref="AL63" r:id="rId387" xr:uid="{6545B897-4CC6-489F-9522-D9392E235EDD}"/>
    <hyperlink ref="AL48" r:id="rId388" xr:uid="{2E188B8B-9F74-49D2-9121-CC17FB2BDD17}"/>
    <hyperlink ref="AL22" r:id="rId389" xr:uid="{D1941EFA-60CC-47DF-A740-3A7EEA3BE5AA}"/>
    <hyperlink ref="AL16" r:id="rId390" xr:uid="{E14E8739-A285-4FB8-9C7E-FDFFE85F7246}"/>
    <hyperlink ref="AL57" r:id="rId391" xr:uid="{41FA240C-E726-4D1F-8C0F-331C49BC386D}"/>
    <hyperlink ref="AL6" r:id="rId392" xr:uid="{7FC9C382-8E6D-4386-B5A2-F2D8A06463BC}"/>
    <hyperlink ref="Q47" r:id="rId393" xr:uid="{D96C2414-A455-4CF5-846D-3294E53713C2}"/>
    <hyperlink ref="AL28" r:id="rId394" xr:uid="{94843F20-36F6-48AC-9D94-34345499F092}"/>
    <hyperlink ref="AL64" r:id="rId395" xr:uid="{F778F91A-06A5-4E58-B909-33F594C52B7C}"/>
    <hyperlink ref="AL78" r:id="rId396" xr:uid="{9E7A7916-6810-4834-A8EF-EAA43796DB04}"/>
    <hyperlink ref="AL54" r:id="rId397" xr:uid="{1B883AE7-9298-4771-8ECF-354B61A4E3D2}"/>
    <hyperlink ref="AL23" r:id="rId398" xr:uid="{226A0060-CE8E-4106-BFEF-B68D98450C3B}"/>
    <hyperlink ref="AL7" r:id="rId399" xr:uid="{076C961A-38B2-45AC-9D2C-07748196D619}"/>
    <hyperlink ref="AL59" r:id="rId400" xr:uid="{84E9C7D2-1971-401D-A9A7-935D2034148A}"/>
    <hyperlink ref="AL12" r:id="rId401" xr:uid="{C15EEC29-96E6-4B8B-B71A-D0EA627E4C0A}"/>
    <hyperlink ref="AL33" r:id="rId402" xr:uid="{FACD780F-C37E-4783-BCE4-5A2B05D61530}"/>
    <hyperlink ref="AL42" r:id="rId403" xr:uid="{AFF553D0-8DAF-46C8-BC28-69E007047FC9}"/>
    <hyperlink ref="AL11" r:id="rId404" xr:uid="{0FFCA82D-B5B1-4A8C-8EDD-FA662C349034}"/>
    <hyperlink ref="C29" r:id="rId405" xr:uid="{6233DDA9-FBB6-4105-8DCB-5B04CCC6F0E4}"/>
    <hyperlink ref="AL36" r:id="rId406" xr:uid="{627D6E59-559A-4FA7-8BC2-B4E0D1D5C1C2}"/>
    <hyperlink ref="AL19" r:id="rId407" xr:uid="{38FFF590-B712-481B-A9D1-E7D4E4E54AB5}"/>
    <hyperlink ref="AL37" r:id="rId408" xr:uid="{F6F92BBC-11AE-41CF-B7AA-4B01EE7FF903}"/>
    <hyperlink ref="AL69" r:id="rId409" xr:uid="{2D58B7F8-B19C-487C-9B15-764007F6203C}"/>
    <hyperlink ref="AL35" r:id="rId410" xr:uid="{51425832-41DA-4E12-A261-AC0455698874}"/>
    <hyperlink ref="AL14" r:id="rId411" xr:uid="{3DE83C30-9409-4C84-93B6-3B7D76AA15FD}"/>
    <hyperlink ref="AV44" r:id="rId412" xr:uid="{36907575-E47A-44AD-83D8-8E6E9B7F7A4F}"/>
    <hyperlink ref="AL44" r:id="rId413" xr:uid="{EFD0B8BD-F5A4-486E-8E18-75EA04CA3C69}"/>
    <hyperlink ref="AL25" r:id="rId414" xr:uid="{DD3673BE-5A42-44CF-9CFC-13DAA6A024BC}"/>
    <hyperlink ref="AL71" r:id="rId415" xr:uid="{B29CE159-FC7B-4C38-ABDC-58B612934FDB}"/>
    <hyperlink ref="AV71" r:id="rId416" xr:uid="{7A4BF416-EC2A-4650-B7DE-5F171D8BCDCE}"/>
    <hyperlink ref="AL10" r:id="rId417" xr:uid="{3F1EC56C-DB14-48C1-8B3F-9E89A9F32DAB}"/>
    <hyperlink ref="Q26" r:id="rId418" xr:uid="{ED526B07-115B-44F1-8105-203C75D34B6C}"/>
    <hyperlink ref="AL72" r:id="rId419" xr:uid="{E4B8B493-A0F7-47E5-8D07-8D0CE26EF987}"/>
    <hyperlink ref="AL77" r:id="rId420" xr:uid="{F8F13DDC-552E-40E4-BBAE-FFECB2293CBE}"/>
    <hyperlink ref="AL75" r:id="rId421" xr:uid="{B0950CA7-E629-457D-B1F9-F4DB0C72EEE4}"/>
    <hyperlink ref="AV73" r:id="rId422" xr:uid="{BB83F1F4-E751-42EA-B8A8-E3E57647760E}"/>
    <hyperlink ref="AM73" r:id="rId423" xr:uid="{53E83875-728A-497A-B269-15D7FB618728}"/>
    <hyperlink ref="AL8" r:id="rId424" xr:uid="{7212BCFD-5454-4EB8-AD61-C67EF1A3B8AF}"/>
    <hyperlink ref="AL84" r:id="rId425" xr:uid="{029BC820-65D0-41B6-922D-9CD3415959A4}"/>
    <hyperlink ref="AJ83" r:id="rId426" xr:uid="{5BAC7136-B1BC-4B94-99C7-75271A3633F5}"/>
    <hyperlink ref="AL15" r:id="rId427" xr:uid="{387BD006-0898-4C73-B0B9-01D88936170A}"/>
    <hyperlink ref="AV15" r:id="rId428" xr:uid="{9F54877B-6A13-4850-92DC-BDF3DB180C82}"/>
    <hyperlink ref="Q19" r:id="rId429" xr:uid="{CF173C75-85B4-458E-9095-FFFB633FF5CD}"/>
    <hyperlink ref="AO60" r:id="rId430" display="https://speedwaymagnetite.weebly.com/costs.html" xr:uid="{1205988B-029C-4438-A25C-98D471FF992C}"/>
    <hyperlink ref="C17" r:id="rId431" xr:uid="{12C7EB0F-67F3-44B8-8E50-0362B06CF549}"/>
    <hyperlink ref="AJ17" r:id="rId432" xr:uid="{21F71832-5AE1-44EA-B0C6-253305B2F58C}"/>
    <hyperlink ref="AJ16" r:id="rId433" xr:uid="{E53D5E6B-142E-4AEF-8EAF-59F7D9883B54}"/>
    <hyperlink ref="AJ19" r:id="rId434" xr:uid="{C54B021C-9BEE-4A59-BFEC-7C7A154B9D51}"/>
    <hyperlink ref="Q3" r:id="rId435" xr:uid="{A34AF0DE-1B86-4CDD-8325-8669C2C26170}"/>
    <hyperlink ref="C3" r:id="rId436" xr:uid="{7DA35F24-E528-4AF1-93BE-9C0A53030C6C}"/>
    <hyperlink ref="A3" r:id="rId437" xr:uid="{BE719555-AE4E-4E24-976F-2F9009619849}"/>
    <hyperlink ref="AN3" r:id="rId438" display="https://wcsecure.weblink.com.au/pdf/IRD/02079052.pdf" xr:uid="{AC329E2B-1484-4A5A-BB09-4837300DF91E}"/>
    <hyperlink ref="AJ3" r:id="rId439" xr:uid="{F3C5AB7D-7429-4EAE-AF6C-D254F3CC867E}"/>
    <hyperlink ref="R3" r:id="rId440" xr:uid="{D27A92CB-E4F7-4A09-893E-4B8833D8EB21}"/>
    <hyperlink ref="AL3" r:id="rId441" xr:uid="{31EACE9B-CDCF-4126-B52D-9EE4AB559EE7}"/>
    <hyperlink ref="Q2" r:id="rId442" xr:uid="{42D5181A-A07D-4F43-8CEC-C632F49B8EFA}"/>
    <hyperlink ref="R2" r:id="rId443" xr:uid="{4E9DC680-3B09-4583-BC3E-D706BB2E9E20}"/>
    <hyperlink ref="A2" r:id="rId444" xr:uid="{FDBF3CFB-286C-4E33-B1BA-B157282A2A9E}"/>
    <hyperlink ref="C2" r:id="rId445" xr:uid="{C2EDCB1D-617B-46A8-AB99-937DB513D82B}"/>
    <hyperlink ref="AJ2" r:id="rId446" xr:uid="{154436C4-8081-4583-BA23-E0381BA6E85C}"/>
    <hyperlink ref="AL2" r:id="rId447" xr:uid="{AE8C4E80-7DDD-473A-8E92-CF5A6C8B6A1F}"/>
    <hyperlink ref="R58" r:id="rId448" xr:uid="{64508C8C-AA03-4903-A1D1-B4B0AE8B4C33}"/>
    <hyperlink ref="C24" r:id="rId449" xr:uid="{841A81FD-6944-4237-B8BC-5E7E710E45AA}"/>
    <hyperlink ref="C26" r:id="rId450" xr:uid="{581AFC91-2AD4-46AA-A73B-34BECEF1EDEC}"/>
    <hyperlink ref="C28" r:id="rId451" xr:uid="{EAA0381A-8126-462A-946E-087DFA975ED5}"/>
    <hyperlink ref="C34:C35" r:id="rId452" display="https://sites.google.com/ieefa.org/no-link-available/home" xr:uid="{E363C4B1-455F-421E-95FE-B18A23A29348}"/>
    <hyperlink ref="C40" r:id="rId453" xr:uid="{7BDE9373-B6D4-418D-B2A4-5247FEA972DB}"/>
    <hyperlink ref="C42" r:id="rId454" xr:uid="{99FB6A19-C68B-4984-8431-C7AA273EDB7E}"/>
    <hyperlink ref="C44:C46" r:id="rId455" display="https://sites.google.com/ieefa.org/no-link-available/home" xr:uid="{87B03779-68E9-4D73-B567-BB85B351DC64}"/>
    <hyperlink ref="C49" r:id="rId456" xr:uid="{5582D8A3-C08E-4FB1-AB98-E5F2345F97AC}"/>
    <hyperlink ref="C56" r:id="rId457" xr:uid="{A1D1AC73-7BC9-4CFF-A153-C46A196FC5DA}"/>
    <hyperlink ref="C61" r:id="rId458" xr:uid="{AC461853-AEF9-4D12-B96D-5B14957B0085}"/>
    <hyperlink ref="C67:C69" r:id="rId459" display="https://sites.google.com/ieefa.org/no-link-available/home" xr:uid="{8E0299D9-A5DE-478E-8686-129A1FF725D3}"/>
    <hyperlink ref="C73" r:id="rId460" xr:uid="{23B70B75-2AEA-4A20-86C9-B967178FC5AF}"/>
    <hyperlink ref="C82:C83" r:id="rId461" display="https://sites.google.com/ieefa.org/no-link-available/home" xr:uid="{2824776B-3F8C-4F02-B4ED-FFE1F58616A1}"/>
    <hyperlink ref="A24" r:id="rId462" xr:uid="{C40304A3-8EF8-48C8-9FE7-D89A90649761}"/>
    <hyperlink ref="A26" r:id="rId463" xr:uid="{30824F2A-832E-463E-A28A-475A4F611734}"/>
    <hyperlink ref="A28" r:id="rId464" xr:uid="{D9E7806C-DD24-4BE7-A3E2-21076655439A}"/>
    <hyperlink ref="A34:A35" r:id="rId465" display="https://sites.google.com/ieefa.org/no-link-available/home" xr:uid="{115E9609-B902-41FB-965B-DDE835E65951}"/>
    <hyperlink ref="A40" r:id="rId466" xr:uid="{16234BA2-6531-4C9B-8464-11D3EA0A3C9C}"/>
    <hyperlink ref="A42" r:id="rId467" xr:uid="{B10E9E89-14BB-4CE1-A8BD-02C70C65B3EA}"/>
    <hyperlink ref="A44:A46" r:id="rId468" display="https://sites.google.com/ieefa.org/no-link-available/home" xr:uid="{A2FFAB98-0963-4CEE-AF80-FDB33E8D6617}"/>
    <hyperlink ref="A49" r:id="rId469" xr:uid="{496F7AEE-2A2D-4D44-BF3B-B85E57AC4DCC}"/>
    <hyperlink ref="A56" r:id="rId470" xr:uid="{DE72A85A-F73D-4100-8BF3-90891F8B2F15}"/>
    <hyperlink ref="A61" r:id="rId471" xr:uid="{06BF8DED-38F4-49F1-BBEB-567AE7CD6AE2}"/>
    <hyperlink ref="A67:A69" r:id="rId472" display="https://sites.google.com/ieefa.org/no-link-available/home" xr:uid="{07F83921-04AB-4D10-8BAD-1DCBAD33B14F}"/>
    <hyperlink ref="A73" r:id="rId473" xr:uid="{390401E6-E0D8-4035-80BA-91F30DDD3E51}"/>
    <hyperlink ref="A82:A83" r:id="rId474" display="https://sites.google.com/ieefa.org/no-link-available/home" xr:uid="{AACCD8B0-22E4-49BC-989F-54FE44A4AE45}"/>
    <hyperlink ref="A6" r:id="rId475" xr:uid="{54E158E8-4140-405E-872D-704A6BDB9A90}"/>
    <hyperlink ref="A62" r:id="rId476" xr:uid="{3F0A2B61-427A-4890-9D8F-0E33BB6F23EE}"/>
    <hyperlink ref="A64" r:id="rId477" xr:uid="{9F254DA0-4FE3-41B2-8F7A-BA98B7DC95EE}"/>
    <hyperlink ref="A65" r:id="rId478" xr:uid="{D72D5885-3C68-4154-BBA5-6CE0FFA57329}"/>
    <hyperlink ref="A72" r:id="rId479" xr:uid="{DD45CBC7-DA2E-4144-8426-C601C56F100E}"/>
    <hyperlink ref="A76" r:id="rId480" xr:uid="{8CFE686F-2430-44C0-9C74-BF72C0A4D622}"/>
    <hyperlink ref="A27" r:id="rId481" xr:uid="{5393D973-1833-45AF-ACA4-6A67BB4FC7AA}"/>
    <hyperlink ref="C33" r:id="rId482" xr:uid="{EEE87786-A22E-4136-A1B1-C6B46936CD67}"/>
    <hyperlink ref="A37" r:id="rId483" xr:uid="{B08E641F-9763-46EB-82F9-1D7AD0405735}"/>
    <hyperlink ref="C85" r:id="rId484" xr:uid="{11D1A193-42C7-49CC-B4C7-EF9AFB8571CB}"/>
    <hyperlink ref="Q85" r:id="rId485" xr:uid="{204B0817-B6C6-493F-8EAC-A8806FD70465}"/>
    <hyperlink ref="R85" r:id="rId486" xr:uid="{6F96DCBD-A852-40FC-8B19-91D958E4A64D}"/>
    <hyperlink ref="AJ85" r:id="rId487" xr:uid="{91D55824-99E4-4C82-9223-0C497E1983C3}"/>
    <hyperlink ref="AV8" r:id="rId488" xr:uid="{EB482EE0-E80B-45FC-81FD-F7AB236FA34E}"/>
    <hyperlink ref="C21" r:id="rId489" xr:uid="{20A48954-2BA6-4DE1-8042-93E81DB3FCBB}"/>
    <hyperlink ref="A21" r:id="rId490" xr:uid="{568B233C-33CD-4022-A9E0-E663F8BDCA37}"/>
    <hyperlink ref="A33" r:id="rId491" xr:uid="{6C079915-B842-4DF1-A99C-985A43D79CF4}"/>
    <hyperlink ref="A85" r:id="rId492" xr:uid="{8A914E9B-207B-49D5-A4A7-7C67AFFDBBE4}"/>
    <hyperlink ref="R84" r:id="rId493" xr:uid="{A409D557-E3C6-4DA0-A2DF-3B1A8D504C23}"/>
    <hyperlink ref="R82" r:id="rId494" xr:uid="{D567F397-9518-4317-A954-5619CD012503}"/>
    <hyperlink ref="R77:R80" r:id="rId495" display="https://sites.google.com/ieefa.org/no-link-available/home " xr:uid="{3D63B919-7332-45AA-A4D2-7E7123583AC5}"/>
    <hyperlink ref="R75" r:id="rId496" xr:uid="{AA41AF07-25BB-47DF-9483-03E9114C6116}"/>
    <hyperlink ref="R72:R73" r:id="rId497" display="https://sites.google.com/ieefa.org/no-link-available/home " xr:uid="{D65CABE1-0DE6-44EC-889A-EDA4E23BF818}"/>
    <hyperlink ref="R70" r:id="rId498" xr:uid="{6C6FFA02-1D85-49B3-B8A0-FD488A752D02}"/>
    <hyperlink ref="R61" r:id="rId499" xr:uid="{D811BC6B-713C-452E-9213-49FE7D0BF293}"/>
    <hyperlink ref="R43" r:id="rId500" xr:uid="{59231148-D23F-4FB0-8920-AC5533A5D47D}"/>
    <hyperlink ref="R41" r:id="rId501" xr:uid="{0D4E88BF-909E-4C77-9570-F2F7485E8E0A}"/>
    <hyperlink ref="R39" r:id="rId502" xr:uid="{08BDA312-D765-40B0-88E2-1DAC926C0A0F}"/>
    <hyperlink ref="R8" r:id="rId503" xr:uid="{0B7DF3CE-1F77-44AF-8DFA-AF65C25C36DA}"/>
    <hyperlink ref="R4" r:id="rId504" xr:uid="{B489D565-DF4A-47AB-BBC9-B11452ED57F0}"/>
  </hyperlinks>
  <pageMargins left="0.7" right="0.7" top="0.75" bottom="0.75" header="0.3" footer="0.3"/>
  <pageSetup paperSize="9" orientation="portrait" r:id="rId505"/>
  <legacyDrawing r:id="rId50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4D5-2B43-404D-9C05-3AADAC5ED96E}">
  <dimension ref="A1:BB54"/>
  <sheetViews>
    <sheetView topLeftCell="A34" zoomScale="85" zoomScaleNormal="85" workbookViewId="0">
      <selection activeCell="C60" sqref="C60"/>
    </sheetView>
  </sheetViews>
  <sheetFormatPr defaultColWidth="8.7109375" defaultRowHeight="15" outlineLevelCol="1" x14ac:dyDescent="0.25"/>
  <cols>
    <col min="1" max="1" width="14" style="2" customWidth="1"/>
    <col min="2" max="2" width="34.140625" style="2" bestFit="1" customWidth="1"/>
    <col min="3" max="3" width="51.85546875" style="2" bestFit="1" customWidth="1"/>
    <col min="4" max="4" width="37.85546875" customWidth="1"/>
    <col min="5" max="5" width="12.7109375" style="2" customWidth="1"/>
    <col min="6" max="6" width="12.28515625" style="2" customWidth="1"/>
    <col min="7" max="8" width="10.28515625" style="2" customWidth="1"/>
    <col min="9" max="9" width="23.5703125" style="4" bestFit="1" customWidth="1"/>
    <col min="10" max="10" width="15.7109375" customWidth="1"/>
    <col min="11" max="11" width="15.5703125" customWidth="1" outlineLevel="1"/>
    <col min="12" max="12" width="14.28515625" customWidth="1" outlineLevel="1"/>
    <col min="13" max="13" width="16" customWidth="1" outlineLevel="1"/>
    <col min="14" max="14" width="14.42578125" customWidth="1" outlineLevel="1"/>
    <col min="15" max="15" width="13.28515625" customWidth="1" outlineLevel="1"/>
    <col min="16" max="16" width="15" customWidth="1" outlineLevel="1"/>
    <col min="17" max="17" width="9.85546875" customWidth="1" outlineLevel="1"/>
    <col min="18" max="18" width="22.7109375" customWidth="1" outlineLevel="1"/>
    <col min="19" max="19" width="7" bestFit="1" customWidth="1"/>
    <col min="20" max="20" width="9" customWidth="1" outlineLevel="1"/>
    <col min="21" max="21" width="10.42578125" customWidth="1" outlineLevel="1"/>
    <col min="22" max="23" width="6" customWidth="1" outlineLevel="1"/>
    <col min="24" max="24" width="7.85546875" customWidth="1" outlineLevel="1"/>
    <col min="25" max="25" width="14" customWidth="1" outlineLevel="1"/>
    <col min="26" max="26" width="11" bestFit="1" customWidth="1"/>
    <col min="27" max="27" width="11.140625" customWidth="1" outlineLevel="1"/>
    <col min="28" max="28" width="12.5703125" customWidth="1" outlineLevel="1"/>
    <col min="29" max="29" width="8.140625" customWidth="1" outlineLevel="1"/>
    <col min="30" max="30" width="12" customWidth="1" outlineLevel="1"/>
    <col min="31" max="31" width="10" customWidth="1" outlineLevel="1"/>
    <col min="32" max="32" width="17.85546875" customWidth="1" outlineLevel="1"/>
    <col min="33" max="33" width="13.5703125" customWidth="1" outlineLevel="1"/>
    <col min="34" max="34" width="11.5703125" customWidth="1" outlineLevel="1"/>
    <col min="35" max="35" width="22.42578125" customWidth="1" outlineLevel="1"/>
    <col min="36" max="36" width="27.42578125" customWidth="1" outlineLevel="1"/>
    <col min="37" max="37" width="53.5703125" customWidth="1"/>
    <col min="38" max="38" width="26.85546875" customWidth="1" outlineLevel="1"/>
    <col min="39" max="39" width="23.85546875" customWidth="1" outlineLevel="1"/>
    <col min="40" max="40" width="17" bestFit="1" customWidth="1"/>
    <col min="41" max="41" width="26.7109375" customWidth="1" outlineLevel="1"/>
    <col min="42" max="42" width="24.7109375" customWidth="1" outlineLevel="1"/>
    <col min="43" max="43" width="8" customWidth="1" outlineLevel="1"/>
    <col min="44" max="44" width="34.7109375" customWidth="1" outlineLevel="1"/>
    <col min="45" max="45" width="25.140625" customWidth="1" outlineLevel="1"/>
    <col min="46" max="46" width="28.28515625" customWidth="1" outlineLevel="1"/>
    <col min="47" max="47" width="36.140625" customWidth="1" outlineLevel="1"/>
    <col min="48" max="48" width="11.5703125" customWidth="1"/>
    <col min="49" max="49" width="25.140625" customWidth="1"/>
    <col min="50" max="50" width="17.42578125" customWidth="1"/>
  </cols>
  <sheetData>
    <row r="1" spans="1:54" x14ac:dyDescent="0.25">
      <c r="A1" s="86" t="s">
        <v>298</v>
      </c>
      <c r="B1" s="86" t="s">
        <v>67</v>
      </c>
      <c r="C1" s="86" t="s">
        <v>421</v>
      </c>
      <c r="D1" s="86" t="s">
        <v>0</v>
      </c>
      <c r="E1" s="86" t="s">
        <v>38</v>
      </c>
      <c r="F1" s="86" t="s">
        <v>65</v>
      </c>
      <c r="G1" s="86" t="s">
        <v>835</v>
      </c>
      <c r="H1" s="86" t="s">
        <v>1133</v>
      </c>
      <c r="I1" s="87" t="s">
        <v>8</v>
      </c>
      <c r="J1" s="86" t="s">
        <v>495</v>
      </c>
      <c r="K1" s="86" t="s">
        <v>497</v>
      </c>
      <c r="L1" s="86" t="s">
        <v>498</v>
      </c>
      <c r="M1" s="86" t="s">
        <v>499</v>
      </c>
      <c r="N1" s="86" t="s">
        <v>496</v>
      </c>
      <c r="O1" s="86" t="s">
        <v>500</v>
      </c>
      <c r="P1" s="86" t="s">
        <v>501</v>
      </c>
      <c r="Q1" s="86" t="s">
        <v>920</v>
      </c>
      <c r="R1" s="86" t="s">
        <v>505</v>
      </c>
      <c r="S1" s="86" t="s">
        <v>424</v>
      </c>
      <c r="T1" s="86" t="s">
        <v>158</v>
      </c>
      <c r="U1" s="86" t="s">
        <v>652</v>
      </c>
      <c r="V1" s="86" t="s">
        <v>160</v>
      </c>
      <c r="W1" s="86" t="s">
        <v>161</v>
      </c>
      <c r="X1" s="86" t="s">
        <v>180</v>
      </c>
      <c r="Y1" s="86" t="s">
        <v>181</v>
      </c>
      <c r="Z1" s="86" t="s">
        <v>403</v>
      </c>
      <c r="AA1" s="86" t="s">
        <v>404</v>
      </c>
      <c r="AB1" s="86" t="s">
        <v>653</v>
      </c>
      <c r="AC1" s="86" t="s">
        <v>405</v>
      </c>
      <c r="AD1" s="86" t="s">
        <v>406</v>
      </c>
      <c r="AE1" s="86" t="s">
        <v>407</v>
      </c>
      <c r="AF1" s="86" t="s">
        <v>654</v>
      </c>
      <c r="AG1" s="86" t="s">
        <v>408</v>
      </c>
      <c r="AH1" s="86" t="s">
        <v>604</v>
      </c>
      <c r="AI1" s="86" t="s">
        <v>540</v>
      </c>
      <c r="AJ1" s="86" t="s">
        <v>480</v>
      </c>
      <c r="AK1" s="86" t="s">
        <v>425</v>
      </c>
      <c r="AL1" s="86" t="s">
        <v>525</v>
      </c>
      <c r="AM1" s="86" t="s">
        <v>552</v>
      </c>
      <c r="AN1" s="86" t="s">
        <v>396</v>
      </c>
      <c r="AO1" s="86" t="s">
        <v>836</v>
      </c>
      <c r="AP1" s="86" t="s">
        <v>837</v>
      </c>
      <c r="AQ1" s="86" t="s">
        <v>145</v>
      </c>
      <c r="AR1" s="86" t="s">
        <v>847</v>
      </c>
      <c r="AS1" s="86" t="s">
        <v>848</v>
      </c>
      <c r="AT1" s="86" t="s">
        <v>162</v>
      </c>
      <c r="AU1" s="86" t="s">
        <v>398</v>
      </c>
      <c r="AV1" s="86" t="s">
        <v>597</v>
      </c>
      <c r="AW1" s="86" t="s">
        <v>856</v>
      </c>
      <c r="AX1" s="86" t="s">
        <v>41</v>
      </c>
      <c r="AY1" s="86" t="s">
        <v>1182</v>
      </c>
      <c r="AZ1" s="3"/>
      <c r="BA1" s="3"/>
      <c r="BB1" s="3"/>
    </row>
    <row r="2" spans="1:54" x14ac:dyDescent="0.25">
      <c r="A2" s="5" t="s">
        <v>1183</v>
      </c>
      <c r="B2" s="84" t="s">
        <v>838</v>
      </c>
      <c r="C2" s="5" t="s">
        <v>839</v>
      </c>
      <c r="D2" t="s">
        <v>838</v>
      </c>
      <c r="E2" s="88">
        <v>-2.8551347375367602</v>
      </c>
      <c r="F2" s="88">
        <v>13.818771651821001</v>
      </c>
      <c r="G2" s="2" t="s">
        <v>840</v>
      </c>
      <c r="H2" s="2" t="s">
        <v>1134</v>
      </c>
      <c r="I2" s="4" t="s">
        <v>67</v>
      </c>
      <c r="J2" s="78">
        <f t="shared" ref="J2:J47" si="0">K2+L2+M2</f>
        <v>6890</v>
      </c>
      <c r="K2" s="78">
        <v>2460</v>
      </c>
      <c r="L2" s="78">
        <v>2100</v>
      </c>
      <c r="M2" s="78">
        <v>2330</v>
      </c>
      <c r="N2" s="78">
        <f>O2+P2</f>
        <v>2070</v>
      </c>
      <c r="O2" s="78">
        <v>774</v>
      </c>
      <c r="P2" s="78">
        <v>1296</v>
      </c>
      <c r="Q2" t="s">
        <v>156</v>
      </c>
      <c r="R2" s="5" t="s">
        <v>841</v>
      </c>
      <c r="S2" s="89">
        <v>32</v>
      </c>
      <c r="T2" s="83">
        <v>45</v>
      </c>
      <c r="U2">
        <v>3</v>
      </c>
      <c r="V2">
        <v>0.05</v>
      </c>
      <c r="X2">
        <v>0.05</v>
      </c>
      <c r="Y2">
        <v>0</v>
      </c>
      <c r="Z2">
        <f>+(68.5+69.1)/2</f>
        <v>68.8</v>
      </c>
      <c r="AA2">
        <f>+(1.05+1.96)/2</f>
        <v>1.5049999999999999</v>
      </c>
      <c r="AB2">
        <f>+(0.47+0.4)/2</f>
        <v>0.435</v>
      </c>
      <c r="AC2">
        <f>+(0.034+0.028)/2</f>
        <v>3.1E-2</v>
      </c>
      <c r="AF2" s="83">
        <f t="shared" ref="AF2:AF47" si="1">AA2+AB2</f>
        <v>1.94</v>
      </c>
      <c r="AI2" s="83"/>
      <c r="AJ2" s="5" t="s">
        <v>842</v>
      </c>
      <c r="AK2" t="s">
        <v>843</v>
      </c>
      <c r="AL2" s="5" t="s">
        <v>846</v>
      </c>
      <c r="AM2" t="s">
        <v>851</v>
      </c>
      <c r="AN2" s="5">
        <v>2024</v>
      </c>
      <c r="AO2">
        <f>1940+2220</f>
        <v>4160</v>
      </c>
      <c r="AP2">
        <v>7360</v>
      </c>
      <c r="AQ2">
        <v>28.2</v>
      </c>
      <c r="AR2">
        <f>+(12*31.5+18*24.9)/30</f>
        <v>27.540000000000003</v>
      </c>
      <c r="AS2">
        <f>+(12*33.4+18*27.1)/30</f>
        <v>29.619999999999997</v>
      </c>
      <c r="AT2">
        <v>30</v>
      </c>
      <c r="AW2" s="5" t="s">
        <v>869</v>
      </c>
      <c r="AY2" t="str">
        <f>"&lt;a href="&amp;A1&amp;"target=""_blank""&gt;View Source&lt;/a&gt;"</f>
        <v>&lt;a href=Mine Linktarget="_blank"&gt;View Source&lt;/a&gt;</v>
      </c>
    </row>
    <row r="3" spans="1:54" x14ac:dyDescent="0.25">
      <c r="A3" s="6" t="s">
        <v>867</v>
      </c>
      <c r="B3" s="84" t="s">
        <v>849</v>
      </c>
      <c r="C3" s="5" t="s">
        <v>863</v>
      </c>
      <c r="D3" t="s">
        <v>870</v>
      </c>
      <c r="E3" s="88">
        <v>52.816887003989102</v>
      </c>
      <c r="F3" s="88">
        <v>-66.983322533564206</v>
      </c>
      <c r="G3" s="2" t="s">
        <v>855</v>
      </c>
      <c r="H3" s="2" t="s">
        <v>1135</v>
      </c>
      <c r="I3" s="4" t="s">
        <v>67</v>
      </c>
      <c r="J3" s="78">
        <f t="shared" si="0"/>
        <v>1138.4000000000001</v>
      </c>
      <c r="K3" s="78">
        <v>763</v>
      </c>
      <c r="L3" s="78">
        <v>163</v>
      </c>
      <c r="M3" s="78">
        <v>212.4</v>
      </c>
      <c r="N3" s="78">
        <f t="shared" ref="N3:N37" si="2">O3+P3</f>
        <v>643</v>
      </c>
      <c r="O3" s="78">
        <v>167</v>
      </c>
      <c r="P3" s="78">
        <v>476</v>
      </c>
      <c r="Q3" t="s">
        <v>865</v>
      </c>
      <c r="R3" s="5" t="s">
        <v>866</v>
      </c>
      <c r="S3">
        <v>29.59</v>
      </c>
      <c r="T3">
        <v>47.64</v>
      </c>
      <c r="Y3">
        <v>15</v>
      </c>
      <c r="Z3">
        <v>67.599999999999994</v>
      </c>
      <c r="AA3">
        <v>2.1</v>
      </c>
      <c r="AB3">
        <v>0.25</v>
      </c>
      <c r="AC3">
        <v>0.02</v>
      </c>
      <c r="AE3">
        <v>-0.75</v>
      </c>
      <c r="AF3" s="83">
        <f t="shared" si="1"/>
        <v>2.35</v>
      </c>
      <c r="AH3">
        <v>147</v>
      </c>
      <c r="AJ3" s="5" t="s">
        <v>864</v>
      </c>
      <c r="AK3" t="s">
        <v>738</v>
      </c>
      <c r="AL3" s="5" t="s">
        <v>864</v>
      </c>
      <c r="AM3" t="s">
        <v>862</v>
      </c>
      <c r="AN3" s="5">
        <v>2024</v>
      </c>
      <c r="AO3">
        <f>2972</f>
        <v>2972</v>
      </c>
      <c r="AP3">
        <v>416</v>
      </c>
      <c r="AQ3">
        <v>9.8000000000000007</v>
      </c>
      <c r="AR3" s="83">
        <v>58.52</v>
      </c>
      <c r="AS3">
        <v>68.88</v>
      </c>
      <c r="AT3" s="83">
        <v>8.577</v>
      </c>
      <c r="AU3">
        <v>212</v>
      </c>
      <c r="AV3" s="5" t="s">
        <v>867</v>
      </c>
      <c r="AW3" s="5" t="s">
        <v>868</v>
      </c>
      <c r="AY3" t="str">
        <f>"&lt;a href="&amp;A2&amp;"target=""_blank""&gt;View Source&lt;/a&gt;"</f>
        <v>&lt;a href=https://www.zanagairon.com/ target="_blank"&gt;View Source&lt;/a&gt;</v>
      </c>
    </row>
    <row r="4" spans="1:54" x14ac:dyDescent="0.25">
      <c r="A4" s="6" t="s">
        <v>1049</v>
      </c>
      <c r="B4" s="84" t="s">
        <v>1051</v>
      </c>
      <c r="C4" s="5" t="s">
        <v>1049</v>
      </c>
      <c r="D4" t="s">
        <v>1052</v>
      </c>
      <c r="E4" s="88">
        <v>22.705441</v>
      </c>
      <c r="F4" s="88">
        <v>-12.796422</v>
      </c>
      <c r="G4" s="2" t="s">
        <v>1050</v>
      </c>
      <c r="H4" s="2" t="s">
        <v>1134</v>
      </c>
      <c r="I4" s="4" t="s">
        <v>67</v>
      </c>
      <c r="J4" s="78">
        <v>560</v>
      </c>
      <c r="K4" s="78"/>
      <c r="L4" s="78"/>
      <c r="M4" s="78"/>
      <c r="N4" s="78">
        <f t="shared" si="2"/>
        <v>0</v>
      </c>
      <c r="O4" s="78"/>
      <c r="P4" s="78"/>
      <c r="R4" s="5" t="s">
        <v>1129</v>
      </c>
      <c r="S4" s="5">
        <v>36</v>
      </c>
      <c r="V4" s="74"/>
      <c r="AF4" s="83">
        <f t="shared" si="1"/>
        <v>0</v>
      </c>
      <c r="AJ4" s="5"/>
      <c r="AK4" t="s">
        <v>845</v>
      </c>
      <c r="AL4" s="5" t="s">
        <v>1137</v>
      </c>
      <c r="AY4" t="str">
        <f t="shared" ref="AY4:AY54" si="3">"&lt;a href="&amp;A3&amp;"target=""_blank""&gt;View Source&lt;/a&gt;"</f>
        <v>&lt;a href=https://kami.ca/ target="_blank"&gt;View Source&lt;/a&gt;</v>
      </c>
    </row>
    <row r="5" spans="1:54" x14ac:dyDescent="0.25">
      <c r="A5" s="5" t="s">
        <v>936</v>
      </c>
      <c r="B5" s="84" t="s">
        <v>852</v>
      </c>
      <c r="C5" s="5" t="s">
        <v>935</v>
      </c>
      <c r="D5" t="s">
        <v>853</v>
      </c>
      <c r="E5" s="88">
        <v>49.916398275631401</v>
      </c>
      <c r="F5" s="88">
        <v>-74.123838174688302</v>
      </c>
      <c r="G5" s="2" t="s">
        <v>855</v>
      </c>
      <c r="H5" s="2" t="s">
        <v>1135</v>
      </c>
      <c r="I5" s="4" t="s">
        <v>67</v>
      </c>
      <c r="J5" s="78">
        <f t="shared" si="0"/>
        <v>1225.0999999999999</v>
      </c>
      <c r="K5" s="78">
        <v>678.5</v>
      </c>
      <c r="L5" s="78">
        <v>546.6</v>
      </c>
      <c r="M5" s="78"/>
      <c r="N5" s="78">
        <f t="shared" si="2"/>
        <v>0</v>
      </c>
      <c r="O5" s="78"/>
      <c r="P5" s="78"/>
      <c r="R5" s="5" t="s">
        <v>854</v>
      </c>
      <c r="S5">
        <f>0.55*25.46+0.45*23.8</f>
        <v>24.713000000000001</v>
      </c>
      <c r="T5">
        <f>0.55*25.01+0.45*27.25</f>
        <v>26.018000000000001</v>
      </c>
      <c r="V5" s="74"/>
      <c r="Z5">
        <v>67.2</v>
      </c>
      <c r="AA5">
        <v>1.8</v>
      </c>
      <c r="AB5">
        <v>0.5</v>
      </c>
      <c r="AC5">
        <v>0.01</v>
      </c>
      <c r="AD5">
        <v>0.3</v>
      </c>
      <c r="AF5" s="83">
        <f t="shared" si="1"/>
        <v>2.2999999999999998</v>
      </c>
      <c r="AJ5" s="5" t="s">
        <v>859</v>
      </c>
      <c r="AK5" t="s">
        <v>845</v>
      </c>
      <c r="AL5" s="5" t="s">
        <v>858</v>
      </c>
      <c r="AM5" t="s">
        <v>860</v>
      </c>
      <c r="AN5" s="5">
        <v>2022</v>
      </c>
      <c r="AO5" s="78">
        <f>(574000+226680+50400)/1000</f>
        <v>851.08</v>
      </c>
      <c r="AP5">
        <v>1607</v>
      </c>
      <c r="AQ5">
        <v>43</v>
      </c>
      <c r="AR5">
        <v>21.9</v>
      </c>
      <c r="AS5">
        <v>26</v>
      </c>
      <c r="AT5">
        <v>5</v>
      </c>
      <c r="AU5">
        <v>104</v>
      </c>
      <c r="AV5" s="5" t="s">
        <v>858</v>
      </c>
      <c r="AW5" s="5" t="s">
        <v>857</v>
      </c>
      <c r="AX5" t="s">
        <v>861</v>
      </c>
      <c r="AY5" t="str">
        <f t="shared" si="3"/>
        <v>&lt;a href=https://www.takamul.mr/en/about-us/ target="_blank"&gt;View Source&lt;/a&gt;</v>
      </c>
    </row>
    <row r="6" spans="1:54" x14ac:dyDescent="0.25">
      <c r="A6" s="6" t="s">
        <v>1184</v>
      </c>
      <c r="B6" s="84" t="s">
        <v>872</v>
      </c>
      <c r="C6" s="5" t="s">
        <v>874</v>
      </c>
      <c r="D6" t="s">
        <v>873</v>
      </c>
      <c r="E6" s="88">
        <v>55.0003431605382</v>
      </c>
      <c r="F6" s="88">
        <v>-67.200119069792095</v>
      </c>
      <c r="G6" s="2" t="s">
        <v>855</v>
      </c>
      <c r="H6" s="2" t="s">
        <v>1135</v>
      </c>
      <c r="I6" s="4" t="s">
        <v>67</v>
      </c>
      <c r="J6" s="78">
        <f t="shared" si="0"/>
        <v>16660</v>
      </c>
      <c r="K6" s="78">
        <v>2150</v>
      </c>
      <c r="L6" s="78">
        <v>14510</v>
      </c>
      <c r="M6" s="78"/>
      <c r="N6" s="78">
        <f t="shared" si="2"/>
        <v>0</v>
      </c>
      <c r="O6" s="78"/>
      <c r="P6" s="78"/>
      <c r="Q6" t="s">
        <v>156</v>
      </c>
      <c r="R6" s="5" t="s">
        <v>945</v>
      </c>
      <c r="S6">
        <v>29.34</v>
      </c>
      <c r="T6">
        <v>45.8</v>
      </c>
      <c r="V6">
        <v>0.03</v>
      </c>
      <c r="X6">
        <v>5.0999999999999996</v>
      </c>
      <c r="Y6">
        <v>12.5</v>
      </c>
      <c r="Z6">
        <v>70.599999999999994</v>
      </c>
      <c r="AA6">
        <v>1.2</v>
      </c>
      <c r="AB6">
        <v>0.1</v>
      </c>
      <c r="AC6">
        <v>0.01</v>
      </c>
      <c r="AD6">
        <v>5.0000000000000001E-3</v>
      </c>
      <c r="AF6" s="83">
        <f t="shared" si="1"/>
        <v>1.3</v>
      </c>
      <c r="AH6" s="5">
        <v>32</v>
      </c>
      <c r="AI6">
        <v>20.170000000000002</v>
      </c>
      <c r="AJ6" s="5" t="s">
        <v>946</v>
      </c>
      <c r="AK6" t="s">
        <v>738</v>
      </c>
      <c r="AL6" s="5" t="s">
        <v>947</v>
      </c>
      <c r="AM6" t="s">
        <v>961</v>
      </c>
      <c r="AN6" s="5">
        <v>2025</v>
      </c>
      <c r="AO6">
        <v>4640</v>
      </c>
      <c r="AP6">
        <v>9790</v>
      </c>
      <c r="AQ6">
        <v>18.600000000000001</v>
      </c>
      <c r="AR6" s="83">
        <f>(19*46.1+9*67.8)/25</f>
        <v>59.443999999999996</v>
      </c>
      <c r="AT6">
        <v>25</v>
      </c>
      <c r="AV6" s="5"/>
      <c r="AW6" s="5" t="s">
        <v>948</v>
      </c>
      <c r="AY6" t="str">
        <f t="shared" si="3"/>
        <v>&lt;a href=https://cerradogold.com/projects/mont-sorcier target="_blank"&gt;View Source&lt;/a&gt;</v>
      </c>
    </row>
    <row r="7" spans="1:54" x14ac:dyDescent="0.25">
      <c r="A7" s="6" t="s">
        <v>1063</v>
      </c>
      <c r="B7" s="84" t="s">
        <v>875</v>
      </c>
      <c r="C7" s="5" t="s">
        <v>1064</v>
      </c>
      <c r="D7" t="s">
        <v>876</v>
      </c>
      <c r="E7" s="88">
        <v>49.702110249495902</v>
      </c>
      <c r="F7" s="88">
        <v>-78.652594868399405</v>
      </c>
      <c r="G7" s="2" t="s">
        <v>855</v>
      </c>
      <c r="H7" s="2" t="s">
        <v>1135</v>
      </c>
      <c r="I7" s="4" t="s">
        <v>67</v>
      </c>
      <c r="J7" s="78">
        <f t="shared" si="0"/>
        <v>2264.1</v>
      </c>
      <c r="K7" s="78">
        <v>438</v>
      </c>
      <c r="L7" s="78">
        <v>998.1</v>
      </c>
      <c r="M7" s="78">
        <v>828</v>
      </c>
      <c r="N7" s="78">
        <f t="shared" si="2"/>
        <v>0</v>
      </c>
      <c r="O7" s="78"/>
      <c r="P7" s="78"/>
      <c r="Q7" t="s">
        <v>865</v>
      </c>
      <c r="R7" s="5" t="s">
        <v>1065</v>
      </c>
      <c r="S7">
        <f>+(20.61*1266+20.15*998.1)/(1266+998.1)</f>
        <v>20.407214787332716</v>
      </c>
      <c r="Z7">
        <v>68</v>
      </c>
      <c r="AA7">
        <v>4.5</v>
      </c>
      <c r="AB7">
        <v>1</v>
      </c>
      <c r="AF7" s="83">
        <f t="shared" si="1"/>
        <v>5.5</v>
      </c>
      <c r="AJ7" s="5" t="s">
        <v>1067</v>
      </c>
      <c r="AK7" t="s">
        <v>738</v>
      </c>
      <c r="AL7" s="5"/>
      <c r="AN7">
        <v>2025</v>
      </c>
      <c r="AO7">
        <v>551.20000000000005</v>
      </c>
      <c r="AP7">
        <v>744</v>
      </c>
      <c r="AQ7">
        <v>17.3</v>
      </c>
      <c r="AR7">
        <v>52</v>
      </c>
      <c r="AS7">
        <v>102</v>
      </c>
      <c r="AT7" s="89">
        <f>AU7/31</f>
        <v>3.5548387096774197</v>
      </c>
      <c r="AU7">
        <f>11*2.2+20*4.3</f>
        <v>110.2</v>
      </c>
      <c r="AV7" s="5" t="s">
        <v>1068</v>
      </c>
      <c r="AW7" s="5" t="s">
        <v>1130</v>
      </c>
      <c r="AX7" t="s">
        <v>1066</v>
      </c>
      <c r="AY7" t="str">
        <f t="shared" si="3"/>
        <v>&lt;a href=https://www.cyclonemetals.au/iron-bear/overview/ target="_blank"&gt;View Source&lt;/a&gt;</v>
      </c>
    </row>
    <row r="8" spans="1:54" x14ac:dyDescent="0.25">
      <c r="A8" s="6" t="s">
        <v>1185</v>
      </c>
      <c r="B8" t="s">
        <v>879</v>
      </c>
      <c r="C8" s="6" t="s">
        <v>880</v>
      </c>
      <c r="D8" s="2" t="s">
        <v>878</v>
      </c>
      <c r="E8" s="88">
        <v>59.2298686072306</v>
      </c>
      <c r="F8" s="88">
        <v>-69.918266647445805</v>
      </c>
      <c r="G8" s="2" t="s">
        <v>855</v>
      </c>
      <c r="H8" s="2" t="s">
        <v>1135</v>
      </c>
      <c r="I8" s="4" t="s">
        <v>67</v>
      </c>
      <c r="J8" s="78">
        <f t="shared" si="0"/>
        <v>1610.1979999999999</v>
      </c>
      <c r="K8" s="78">
        <v>613.76900000000001</v>
      </c>
      <c r="L8" s="78">
        <v>222.18799999999999</v>
      </c>
      <c r="M8" s="78">
        <v>774.24099999999999</v>
      </c>
      <c r="N8" s="78">
        <f t="shared" si="2"/>
        <v>0</v>
      </c>
      <c r="O8" s="78"/>
      <c r="P8" s="78"/>
      <c r="Q8" t="s">
        <v>865</v>
      </c>
      <c r="R8" s="5" t="s">
        <v>904</v>
      </c>
      <c r="S8">
        <f>+(774*32.2+614*32+222*32.5)/1610</f>
        <v>32.165093167701862</v>
      </c>
      <c r="Z8">
        <v>66.599999999999994</v>
      </c>
      <c r="AA8">
        <v>4.5</v>
      </c>
      <c r="AF8" s="83">
        <f t="shared" si="1"/>
        <v>4.5</v>
      </c>
      <c r="AG8">
        <v>25</v>
      </c>
      <c r="AH8">
        <v>122</v>
      </c>
      <c r="AI8">
        <v>38.4</v>
      </c>
      <c r="AJ8" s="5" t="s">
        <v>903</v>
      </c>
      <c r="AK8" t="s">
        <v>738</v>
      </c>
      <c r="AN8" s="5">
        <v>2019</v>
      </c>
      <c r="AO8">
        <v>2515</v>
      </c>
      <c r="AP8">
        <v>1405</v>
      </c>
      <c r="AQ8">
        <v>16.8</v>
      </c>
      <c r="AR8" s="78">
        <f>10.44+10.56+1.98+2.44</f>
        <v>25.42</v>
      </c>
      <c r="AS8" s="78">
        <v>30.7</v>
      </c>
      <c r="AT8">
        <v>10</v>
      </c>
      <c r="AV8" s="5"/>
      <c r="AW8" s="5" t="s">
        <v>904</v>
      </c>
      <c r="AY8" t="str">
        <f t="shared" si="3"/>
        <v>&lt;a href=https://www.barlowmetal.ca/en/our-projects/project/iron-hills-project target="_blank"&gt;View Source&lt;/a&gt;</v>
      </c>
    </row>
    <row r="9" spans="1:54" x14ac:dyDescent="0.25">
      <c r="A9" s="6" t="s">
        <v>1186</v>
      </c>
      <c r="B9" s="2" t="s">
        <v>891</v>
      </c>
      <c r="C9" s="5" t="s">
        <v>913</v>
      </c>
      <c r="D9" s="84" t="s">
        <v>893</v>
      </c>
      <c r="E9" s="88">
        <v>47.5</v>
      </c>
      <c r="F9" s="88">
        <v>33.159999999999997</v>
      </c>
      <c r="G9" s="2" t="s">
        <v>889</v>
      </c>
      <c r="H9" s="2" t="s">
        <v>1136</v>
      </c>
      <c r="I9" s="4" t="s">
        <v>67</v>
      </c>
      <c r="J9" s="78">
        <f>K9+L9+M9</f>
        <v>834.09999999999991</v>
      </c>
      <c r="K9" s="78">
        <v>355.1</v>
      </c>
      <c r="L9" s="78">
        <v>290.7</v>
      </c>
      <c r="M9" s="78">
        <v>188.3</v>
      </c>
      <c r="N9" s="78">
        <f t="shared" si="2"/>
        <v>0</v>
      </c>
      <c r="O9" s="78"/>
      <c r="P9" s="78"/>
      <c r="Q9" t="s">
        <v>865</v>
      </c>
      <c r="R9" s="5" t="s">
        <v>979</v>
      </c>
      <c r="S9" s="89">
        <f>(645.8*31.6+188.3*30.1)/J9</f>
        <v>31.261371538184875</v>
      </c>
      <c r="T9" s="92"/>
      <c r="U9" s="92"/>
      <c r="V9" s="92"/>
      <c r="W9" s="92"/>
      <c r="X9" s="92"/>
      <c r="Y9" s="92">
        <v>10</v>
      </c>
      <c r="Z9">
        <v>68</v>
      </c>
      <c r="AA9" s="92">
        <v>4.5</v>
      </c>
      <c r="AB9" s="92">
        <v>0.43</v>
      </c>
      <c r="AC9" s="92">
        <v>0.02</v>
      </c>
      <c r="AD9" s="92">
        <v>0.05</v>
      </c>
      <c r="AE9" s="92"/>
      <c r="AF9" s="83">
        <f t="shared" si="1"/>
        <v>4.93</v>
      </c>
      <c r="AG9">
        <v>13</v>
      </c>
      <c r="AH9" s="92">
        <v>32</v>
      </c>
      <c r="AI9" s="92">
        <v>28.3</v>
      </c>
      <c r="AJ9" s="5" t="s">
        <v>979</v>
      </c>
      <c r="AK9" t="s">
        <v>738</v>
      </c>
      <c r="AL9" s="5" t="s">
        <v>979</v>
      </c>
      <c r="AM9" t="s">
        <v>912</v>
      </c>
      <c r="AN9" s="5">
        <v>2020</v>
      </c>
      <c r="AO9">
        <f>364.5+451.5</f>
        <v>816</v>
      </c>
      <c r="AP9">
        <v>1442</v>
      </c>
      <c r="AQ9" s="92">
        <v>34.4</v>
      </c>
      <c r="AR9" s="92">
        <f>11.47+10.17</f>
        <v>21.64</v>
      </c>
      <c r="AS9" s="92">
        <v>32.630000000000003</v>
      </c>
      <c r="AT9" s="92">
        <v>8</v>
      </c>
      <c r="AU9" s="92">
        <v>116.3</v>
      </c>
      <c r="AV9" s="5" t="s">
        <v>892</v>
      </c>
      <c r="AW9" s="5" t="s">
        <v>979</v>
      </c>
      <c r="AY9" t="str">
        <f t="shared" si="3"/>
        <v>&lt;a href=https://oceanicironore.com/projects/ungava-bay-iron-ore-deposits/ target="_blank"&gt;View Source&lt;/a&gt;</v>
      </c>
    </row>
    <row r="10" spans="1:54" x14ac:dyDescent="0.25">
      <c r="A10" s="6" t="s">
        <v>1187</v>
      </c>
      <c r="B10" s="84" t="s">
        <v>1152</v>
      </c>
      <c r="C10" s="5" t="s">
        <v>1197</v>
      </c>
      <c r="D10" t="s">
        <v>1196</v>
      </c>
      <c r="E10" s="88">
        <v>8.5189537637425801</v>
      </c>
      <c r="F10" s="88">
        <v>-8.8924697480629291</v>
      </c>
      <c r="G10" s="2" t="s">
        <v>908</v>
      </c>
      <c r="H10" s="2" t="s">
        <v>1134</v>
      </c>
      <c r="I10" s="4" t="s">
        <v>21</v>
      </c>
      <c r="J10" s="78">
        <f t="shared" si="0"/>
        <v>1360</v>
      </c>
      <c r="K10" s="78">
        <v>440</v>
      </c>
      <c r="L10" s="78">
        <v>773</v>
      </c>
      <c r="M10" s="78">
        <v>147</v>
      </c>
      <c r="N10" s="78">
        <f t="shared" si="2"/>
        <v>1499</v>
      </c>
      <c r="O10" s="78">
        <v>273</v>
      </c>
      <c r="P10" s="78">
        <v>1226</v>
      </c>
      <c r="Q10" t="s">
        <v>156</v>
      </c>
      <c r="R10" s="5" t="s">
        <v>1128</v>
      </c>
      <c r="S10">
        <v>66.099999999999994</v>
      </c>
      <c r="T10">
        <v>1.6</v>
      </c>
      <c r="U10">
        <v>1.4</v>
      </c>
      <c r="V10">
        <v>0.06</v>
      </c>
      <c r="X10">
        <v>2.2999999999999998</v>
      </c>
      <c r="Y10">
        <v>58</v>
      </c>
      <c r="Z10">
        <v>66.099999999999994</v>
      </c>
      <c r="AA10">
        <v>1.6</v>
      </c>
      <c r="AB10">
        <v>1.4</v>
      </c>
      <c r="AC10">
        <v>0.06</v>
      </c>
      <c r="AF10" s="83">
        <f t="shared" si="1"/>
        <v>3</v>
      </c>
      <c r="AJ10" s="5"/>
      <c r="AK10" t="s">
        <v>717</v>
      </c>
      <c r="AL10" s="5"/>
      <c r="AN10" s="5"/>
      <c r="AT10">
        <v>60</v>
      </c>
      <c r="AV10" s="5"/>
      <c r="AW10" s="5"/>
      <c r="AY10" t="str">
        <f t="shared" si="3"/>
        <v>&lt;a href=https://blackiron.com/project-overview/ target="_blank"&gt;View Source&lt;/a&gt;</v>
      </c>
    </row>
    <row r="11" spans="1:54" s="2" customFormat="1" x14ac:dyDescent="0.25">
      <c r="A11" s="5" t="s">
        <v>914</v>
      </c>
      <c r="B11" s="2" t="s">
        <v>1131</v>
      </c>
      <c r="C11" s="6" t="s">
        <v>914</v>
      </c>
      <c r="D11" t="s">
        <v>897</v>
      </c>
      <c r="E11" s="107">
        <v>47.2949000358226</v>
      </c>
      <c r="F11" s="107">
        <v>-93.372328101288801</v>
      </c>
      <c r="G11" s="2" t="s">
        <v>901</v>
      </c>
      <c r="H11" s="2" t="s">
        <v>1135</v>
      </c>
      <c r="I11" s="4" t="s">
        <v>67</v>
      </c>
      <c r="J11" s="78">
        <f>K11+L11+M11</f>
        <v>437.40000000000003</v>
      </c>
      <c r="K11">
        <v>261.60000000000002</v>
      </c>
      <c r="L11">
        <v>175.8</v>
      </c>
      <c r="M11"/>
      <c r="N11" s="78">
        <f>O11+P11</f>
        <v>261.2</v>
      </c>
      <c r="O11"/>
      <c r="P11">
        <v>261.2</v>
      </c>
      <c r="Q11" t="s">
        <v>865</v>
      </c>
      <c r="R11" s="5" t="s">
        <v>898</v>
      </c>
      <c r="S11" s="89">
        <f>(261.6*29.6+175.8*22.8)/(261.6+175.8)</f>
        <v>26.866941015089168</v>
      </c>
      <c r="U11"/>
      <c r="V11"/>
      <c r="W11"/>
      <c r="X11"/>
      <c r="Y11"/>
      <c r="Z11">
        <v>67</v>
      </c>
      <c r="AA11">
        <v>2.6</v>
      </c>
      <c r="AB11">
        <v>0.3</v>
      </c>
      <c r="AC11">
        <v>0.04</v>
      </c>
      <c r="AD11">
        <v>3.0000000000000001E-3</v>
      </c>
      <c r="AE11"/>
      <c r="AF11" s="83">
        <f>AA11+AB11</f>
        <v>2.9</v>
      </c>
      <c r="AG11"/>
      <c r="AH11"/>
      <c r="AI11"/>
      <c r="AJ11" s="5" t="s">
        <v>900</v>
      </c>
      <c r="AK11" t="s">
        <v>844</v>
      </c>
      <c r="AL11" s="5" t="s">
        <v>914</v>
      </c>
      <c r="AM11" t="s">
        <v>1202</v>
      </c>
      <c r="AN11">
        <v>2026</v>
      </c>
      <c r="AO11">
        <v>434.76</v>
      </c>
      <c r="AP11">
        <v>1598</v>
      </c>
      <c r="AQ11">
        <v>27.6</v>
      </c>
      <c r="AR11" s="5">
        <v>92.42</v>
      </c>
      <c r="AS11"/>
      <c r="AT11">
        <v>2.637</v>
      </c>
      <c r="AU11">
        <v>261.2</v>
      </c>
      <c r="AV11"/>
      <c r="AW11" s="5" t="s">
        <v>898</v>
      </c>
      <c r="AX11" t="s">
        <v>899</v>
      </c>
      <c r="AY11" t="str">
        <f t="shared" si="3"/>
        <v>&lt;a href=https://www.riotinto.com/en/operations/africa/simandou target="_blank"&gt;View Source&lt;/a&gt;</v>
      </c>
    </row>
    <row r="12" spans="1:54" s="2" customFormat="1" x14ac:dyDescent="0.25">
      <c r="A12" s="5" t="s">
        <v>1078</v>
      </c>
      <c r="B12" t="s">
        <v>905</v>
      </c>
      <c r="C12" s="6" t="s">
        <v>1079</v>
      </c>
      <c r="D12" t="s">
        <v>1074</v>
      </c>
      <c r="E12" s="2">
        <v>50.935626863274102</v>
      </c>
      <c r="F12" s="2">
        <v>-91.182871912518706</v>
      </c>
      <c r="G12" s="2" t="s">
        <v>855</v>
      </c>
      <c r="H12" s="2" t="s">
        <v>1135</v>
      </c>
      <c r="I12" s="4" t="s">
        <v>67</v>
      </c>
      <c r="J12" s="78">
        <f t="shared" si="0"/>
        <v>1395</v>
      </c>
      <c r="K12" s="78">
        <v>1287</v>
      </c>
      <c r="L12" s="78">
        <v>108</v>
      </c>
      <c r="M12"/>
      <c r="N12" s="78">
        <f t="shared" si="2"/>
        <v>0</v>
      </c>
      <c r="O12"/>
      <c r="P12"/>
      <c r="Q12" t="s">
        <v>865</v>
      </c>
      <c r="R12" s="5" t="s">
        <v>1075</v>
      </c>
      <c r="S12"/>
      <c r="T12"/>
      <c r="U12"/>
      <c r="V12"/>
      <c r="W12"/>
      <c r="X12"/>
      <c r="Y12"/>
      <c r="Z12"/>
      <c r="AA12"/>
      <c r="AB12"/>
      <c r="AC12"/>
      <c r="AD12"/>
      <c r="AE12"/>
      <c r="AF12" s="83">
        <f t="shared" si="1"/>
        <v>0</v>
      </c>
      <c r="AG12"/>
      <c r="AH12"/>
      <c r="AI12"/>
      <c r="AJ12"/>
      <c r="AK12" t="s">
        <v>738</v>
      </c>
      <c r="AL12" s="5" t="s">
        <v>1077</v>
      </c>
      <c r="AM12"/>
      <c r="AN12">
        <v>2015</v>
      </c>
      <c r="AO12"/>
      <c r="AP12"/>
      <c r="AQ12"/>
      <c r="AR12">
        <f>12.76+18.05+0.2+4.52</f>
        <v>35.53</v>
      </c>
      <c r="AS12"/>
      <c r="AT12"/>
      <c r="AU12"/>
      <c r="AV12" s="5" t="s">
        <v>1138</v>
      </c>
      <c r="AW12" s="5" t="s">
        <v>1075</v>
      </c>
      <c r="AX12" t="s">
        <v>1076</v>
      </c>
      <c r="AY12" t="str">
        <f t="shared" si="3"/>
        <v>&lt;a href=https://magironusa.com/ target="_blank"&gt;View Source&lt;/a&gt;</v>
      </c>
    </row>
    <row r="13" spans="1:54" s="2" customFormat="1" x14ac:dyDescent="0.25">
      <c r="A13" s="5" t="s">
        <v>951</v>
      </c>
      <c r="B13" s="2" t="s">
        <v>906</v>
      </c>
      <c r="C13" s="6" t="s">
        <v>950</v>
      </c>
      <c r="D13" t="s">
        <v>949</v>
      </c>
      <c r="E13" s="2">
        <v>56.079707804495897</v>
      </c>
      <c r="F13" s="2">
        <v>-68.404962948766396</v>
      </c>
      <c r="G13" s="2" t="s">
        <v>855</v>
      </c>
      <c r="H13" s="2" t="s">
        <v>1135</v>
      </c>
      <c r="I13" s="4" t="s">
        <v>67</v>
      </c>
      <c r="J13" s="83">
        <f t="shared" si="0"/>
        <v>27.48</v>
      </c>
      <c r="K13" s="83">
        <v>4.43</v>
      </c>
      <c r="L13" s="83">
        <v>6.84</v>
      </c>
      <c r="M13" s="83">
        <v>16.21</v>
      </c>
      <c r="N13" s="78">
        <f t="shared" si="2"/>
        <v>4993</v>
      </c>
      <c r="O13" s="83">
        <v>4943</v>
      </c>
      <c r="P13" s="83">
        <v>50</v>
      </c>
      <c r="Q13" t="s">
        <v>865</v>
      </c>
      <c r="R13" s="5" t="s">
        <v>954</v>
      </c>
      <c r="S13">
        <v>29.8</v>
      </c>
      <c r="T13"/>
      <c r="U13"/>
      <c r="V13"/>
      <c r="W13"/>
      <c r="X13"/>
      <c r="Y13"/>
      <c r="Z13">
        <v>69.900000000000006</v>
      </c>
      <c r="AA13">
        <v>1.98</v>
      </c>
      <c r="AB13"/>
      <c r="AC13"/>
      <c r="AD13"/>
      <c r="AE13"/>
      <c r="AF13" s="83">
        <f t="shared" si="1"/>
        <v>1.98</v>
      </c>
      <c r="AG13"/>
      <c r="AH13"/>
      <c r="AI13">
        <v>26.3</v>
      </c>
      <c r="AJ13" t="s">
        <v>954</v>
      </c>
      <c r="AK13" t="s">
        <v>845</v>
      </c>
      <c r="AL13" s="5" t="s">
        <v>953</v>
      </c>
      <c r="AM13" t="s">
        <v>952</v>
      </c>
      <c r="AN13" s="5">
        <v>2015</v>
      </c>
      <c r="AO13">
        <v>14186</v>
      </c>
      <c r="AP13">
        <v>5240</v>
      </c>
      <c r="AQ13">
        <v>13</v>
      </c>
      <c r="AS13">
        <f>+(30*34.21+50*31.12)/80</f>
        <v>32.278750000000002</v>
      </c>
      <c r="AT13">
        <v>50</v>
      </c>
      <c r="AU13"/>
      <c r="AV13"/>
      <c r="AW13" s="5" t="s">
        <v>955</v>
      </c>
      <c r="AX13"/>
      <c r="AY13" t="str">
        <f t="shared" si="3"/>
        <v>&lt;a href=https://rockexmining.com/s/Lake_St_Joseph.asp.html target="_blank"&gt;View Source&lt;/a&gt;</v>
      </c>
    </row>
    <row r="14" spans="1:54" s="2" customFormat="1" x14ac:dyDescent="0.25">
      <c r="A14" s="5" t="s">
        <v>929</v>
      </c>
      <c r="B14" s="2" t="s">
        <v>927</v>
      </c>
      <c r="C14" s="6" t="s">
        <v>931</v>
      </c>
      <c r="D14" t="s">
        <v>930</v>
      </c>
      <c r="E14" s="2">
        <v>69.655767999999995</v>
      </c>
      <c r="F14" s="2">
        <v>30.014565999999999</v>
      </c>
      <c r="G14" s="2" t="s">
        <v>887</v>
      </c>
      <c r="H14" s="2" t="s">
        <v>1136</v>
      </c>
      <c r="I14" s="4" t="s">
        <v>67</v>
      </c>
      <c r="J14" s="78">
        <f t="shared" si="0"/>
        <v>511.5</v>
      </c>
      <c r="K14">
        <v>379.3</v>
      </c>
      <c r="L14">
        <v>68.3</v>
      </c>
      <c r="M14">
        <v>63.9</v>
      </c>
      <c r="N14" s="78">
        <f t="shared" si="2"/>
        <v>161.19999999999999</v>
      </c>
      <c r="O14">
        <v>25.5</v>
      </c>
      <c r="P14">
        <v>135.69999999999999</v>
      </c>
      <c r="Q14" t="s">
        <v>865</v>
      </c>
      <c r="R14" s="5" t="s">
        <v>932</v>
      </c>
      <c r="S14">
        <f>32.7*0.87+31.9*0.13</f>
        <v>32.596000000000004</v>
      </c>
      <c r="T14">
        <v>44.5</v>
      </c>
      <c r="V14"/>
      <c r="W14">
        <f>0.87*0.077+0.13*0.105</f>
        <v>8.0639999999999989E-2</v>
      </c>
      <c r="X14"/>
      <c r="Y14"/>
      <c r="Z14">
        <v>70</v>
      </c>
      <c r="AA14">
        <v>2.6</v>
      </c>
      <c r="AB14">
        <v>0.17</v>
      </c>
      <c r="AC14">
        <v>8.9999999999999993E-3</v>
      </c>
      <c r="AD14">
        <v>0.03</v>
      </c>
      <c r="AE14"/>
      <c r="AF14" s="83">
        <f t="shared" si="1"/>
        <v>2.77</v>
      </c>
      <c r="AG14"/>
      <c r="AH14">
        <v>53</v>
      </c>
      <c r="AI14"/>
      <c r="AJ14" s="5" t="s">
        <v>932</v>
      </c>
      <c r="AK14" t="s">
        <v>844</v>
      </c>
      <c r="AL14" s="5" t="s">
        <v>929</v>
      </c>
      <c r="AM14" t="s">
        <v>928</v>
      </c>
      <c r="AN14" s="5">
        <v>2025</v>
      </c>
      <c r="AO14">
        <v>369.1</v>
      </c>
      <c r="AP14">
        <v>1179</v>
      </c>
      <c r="AQ14">
        <v>33.799999999999997</v>
      </c>
      <c r="AR14">
        <v>38.630000000000003</v>
      </c>
      <c r="AT14">
        <v>3</v>
      </c>
      <c r="AU14"/>
      <c r="AV14" s="5" t="s">
        <v>978</v>
      </c>
      <c r="AW14" s="5" t="s">
        <v>932</v>
      </c>
      <c r="AX14"/>
      <c r="AY14" t="str">
        <f t="shared" si="3"/>
        <v>&lt;a href=https://metalquestmining.com/projects/lac-otelnuk/ target="_blank"&gt;View Source&lt;/a&gt;</v>
      </c>
    </row>
    <row r="15" spans="1:54" x14ac:dyDescent="0.25">
      <c r="A15" s="6" t="s">
        <v>1188</v>
      </c>
      <c r="B15" t="s">
        <v>910</v>
      </c>
      <c r="C15" s="5" t="s">
        <v>877</v>
      </c>
      <c r="D15" t="s">
        <v>850</v>
      </c>
      <c r="E15" s="2">
        <v>-20.464781516543098</v>
      </c>
      <c r="F15" s="2">
        <v>-43.9234468277158</v>
      </c>
      <c r="G15" s="2" t="s">
        <v>911</v>
      </c>
      <c r="H15" s="2" t="s">
        <v>1147</v>
      </c>
      <c r="I15" s="4" t="s">
        <v>1156</v>
      </c>
      <c r="J15" s="78">
        <f t="shared" si="0"/>
        <v>2928.3</v>
      </c>
      <c r="K15" s="78">
        <v>1209.9670000000001</v>
      </c>
      <c r="L15" s="78">
        <v>1374.5709999999999</v>
      </c>
      <c r="M15" s="78">
        <v>343.762</v>
      </c>
      <c r="N15" s="78">
        <f t="shared" si="2"/>
        <v>1633.2869999999998</v>
      </c>
      <c r="O15" s="78">
        <v>458.64</v>
      </c>
      <c r="P15" s="78">
        <v>1174.6469999999999</v>
      </c>
      <c r="Q15" t="s">
        <v>156</v>
      </c>
      <c r="R15" s="5" t="s">
        <v>1093</v>
      </c>
      <c r="S15">
        <v>37.630000000000003</v>
      </c>
      <c r="T15">
        <v>38.97</v>
      </c>
      <c r="U15">
        <v>0.77900000000000003</v>
      </c>
      <c r="V15">
        <v>0.05</v>
      </c>
      <c r="X15">
        <v>2.46</v>
      </c>
      <c r="Z15">
        <v>67.7</v>
      </c>
      <c r="AF15" s="83">
        <v>1.5</v>
      </c>
      <c r="AJ15" s="5" t="s">
        <v>1093</v>
      </c>
      <c r="AK15" t="s">
        <v>717</v>
      </c>
      <c r="AN15">
        <v>2024</v>
      </c>
      <c r="AO15">
        <v>7158</v>
      </c>
      <c r="AP15">
        <v>7097</v>
      </c>
      <c r="AR15">
        <v>22.64</v>
      </c>
      <c r="AT15">
        <v>11.8</v>
      </c>
      <c r="AU15">
        <v>1032</v>
      </c>
      <c r="AW15" s="5" t="s">
        <v>1093</v>
      </c>
      <c r="AY15" t="str">
        <f t="shared" si="3"/>
        <v>&lt;a href=https://www.grangex.se/en/the-operation/projects-operational-areas/grangex-sydvaranger/ target="_blank"&gt;View Source&lt;/a&gt;</v>
      </c>
    </row>
    <row r="16" spans="1:54" s="2" customFormat="1" x14ac:dyDescent="0.25">
      <c r="A16" s="5" t="s">
        <v>957</v>
      </c>
      <c r="B16" s="2" t="s">
        <v>1151</v>
      </c>
      <c r="C16" s="6" t="s">
        <v>959</v>
      </c>
      <c r="D16" t="s">
        <v>956</v>
      </c>
      <c r="E16" s="2">
        <v>55.357733332660999</v>
      </c>
      <c r="F16" s="2">
        <v>-67.667524580149902</v>
      </c>
      <c r="G16" s="2" t="s">
        <v>855</v>
      </c>
      <c r="H16" s="2" t="s">
        <v>1135</v>
      </c>
      <c r="I16" s="4" t="s">
        <v>67</v>
      </c>
      <c r="J16" s="78">
        <f t="shared" si="0"/>
        <v>15953.1</v>
      </c>
      <c r="K16">
        <v>7259.6</v>
      </c>
      <c r="L16">
        <v>8693.5</v>
      </c>
      <c r="M16"/>
      <c r="N16" s="78">
        <f t="shared" si="2"/>
        <v>0</v>
      </c>
      <c r="O16"/>
      <c r="P16"/>
      <c r="Q16" t="s">
        <v>865</v>
      </c>
      <c r="R16" s="5" t="s">
        <v>957</v>
      </c>
      <c r="S16">
        <v>30.005618845240111</v>
      </c>
      <c r="T16">
        <v>44.836065843002302</v>
      </c>
      <c r="U16">
        <v>2.4550588913753439E-2</v>
      </c>
      <c r="V16"/>
      <c r="W16"/>
      <c r="X16">
        <v>5.3346635450163298</v>
      </c>
      <c r="Y16">
        <v>20</v>
      </c>
      <c r="Z16">
        <v>66</v>
      </c>
      <c r="AA16">
        <v>4.5</v>
      </c>
      <c r="AB16"/>
      <c r="AC16"/>
      <c r="AD16"/>
      <c r="AE16"/>
      <c r="AF16" s="83">
        <f t="shared" si="1"/>
        <v>4.5</v>
      </c>
      <c r="AG16"/>
      <c r="AH16"/>
      <c r="AI16"/>
      <c r="AJ16" s="5" t="s">
        <v>957</v>
      </c>
      <c r="AK16" t="s">
        <v>738</v>
      </c>
      <c r="AL16" s="5" t="s">
        <v>957</v>
      </c>
      <c r="AM16" t="s">
        <v>960</v>
      </c>
      <c r="AN16" s="5">
        <v>2015</v>
      </c>
      <c r="AO16">
        <f>7385*0.78</f>
        <v>5760.3</v>
      </c>
      <c r="AP16">
        <f>802.8*0.78</f>
        <v>626.18399999999997</v>
      </c>
      <c r="AQ16">
        <v>11.4</v>
      </c>
      <c r="AR16"/>
      <c r="AS16">
        <f>55.7*0.78</f>
        <v>43.446000000000005</v>
      </c>
      <c r="AT16">
        <v>18.3</v>
      </c>
      <c r="AU16"/>
      <c r="AV16"/>
      <c r="AW16" s="5" t="s">
        <v>958</v>
      </c>
      <c r="AX16" t="s">
        <v>1132</v>
      </c>
      <c r="AY16" t="str">
        <f t="shared" si="3"/>
        <v>&lt;a href=https://ri.csnmineracao.com.br/en/company/history-and-corporate-profile/ target="_blank"&gt;View Source&lt;/a&gt;</v>
      </c>
    </row>
    <row r="17" spans="1:51" s="2" customFormat="1" x14ac:dyDescent="0.25">
      <c r="A17" s="5" t="s">
        <v>970</v>
      </c>
      <c r="B17" s="2" t="s">
        <v>968</v>
      </c>
      <c r="C17" s="6" t="s">
        <v>971</v>
      </c>
      <c r="D17" t="s">
        <v>969</v>
      </c>
      <c r="E17" s="2">
        <v>9.63592225738401</v>
      </c>
      <c r="F17" s="2">
        <v>-9.0443248239809897</v>
      </c>
      <c r="G17" s="2" t="s">
        <v>908</v>
      </c>
      <c r="H17" s="2" t="s">
        <v>1134</v>
      </c>
      <c r="I17" s="4" t="s">
        <v>67</v>
      </c>
      <c r="J17" s="78">
        <f t="shared" si="0"/>
        <v>0</v>
      </c>
      <c r="K17"/>
      <c r="L17"/>
      <c r="M17"/>
      <c r="N17" s="78">
        <f t="shared" si="2"/>
        <v>0</v>
      </c>
      <c r="O17"/>
      <c r="P17"/>
      <c r="Q17"/>
      <c r="R17" s="5" t="s">
        <v>972</v>
      </c>
      <c r="S17"/>
      <c r="T17"/>
      <c r="U17"/>
      <c r="V17"/>
      <c r="W17"/>
      <c r="X17"/>
      <c r="Y17"/>
      <c r="Z17">
        <v>66.8</v>
      </c>
      <c r="AA17">
        <v>2.9</v>
      </c>
      <c r="AB17">
        <v>0.49</v>
      </c>
      <c r="AC17"/>
      <c r="AD17"/>
      <c r="AE17"/>
      <c r="AF17" s="83">
        <f t="shared" si="1"/>
        <v>3.3899999999999997</v>
      </c>
      <c r="AG17"/>
      <c r="AH17"/>
      <c r="AI17">
        <v>44</v>
      </c>
      <c r="AJ17" s="5" t="s">
        <v>975</v>
      </c>
      <c r="AK17" t="s">
        <v>845</v>
      </c>
      <c r="AL17" s="5" t="s">
        <v>976</v>
      </c>
      <c r="AM17" t="s">
        <v>977</v>
      </c>
      <c r="AN17"/>
      <c r="AO17"/>
      <c r="AP17"/>
      <c r="AQ17"/>
      <c r="AR17"/>
      <c r="AS17"/>
      <c r="AT17"/>
      <c r="AU17"/>
      <c r="AV17" s="5" t="s">
        <v>974</v>
      </c>
      <c r="AW17"/>
      <c r="AX17" t="s">
        <v>973</v>
      </c>
      <c r="AY17" t="str">
        <f t="shared" si="3"/>
        <v>&lt;a href=https://centuryglobal.ca/projects/full-moon-project/ target="_blank"&gt;View Source&lt;/a&gt;</v>
      </c>
    </row>
    <row r="18" spans="1:51" x14ac:dyDescent="0.25">
      <c r="A18" s="6" t="s">
        <v>1189</v>
      </c>
      <c r="B18" s="2" t="s">
        <v>981</v>
      </c>
      <c r="C18" s="6" t="s">
        <v>982</v>
      </c>
      <c r="D18" t="s">
        <v>980</v>
      </c>
      <c r="E18" s="2">
        <v>0.80955900000000003</v>
      </c>
      <c r="F18" s="2">
        <v>-51.868229999999997</v>
      </c>
      <c r="G18" s="2" t="s">
        <v>911</v>
      </c>
      <c r="H18" s="2" t="s">
        <v>1147</v>
      </c>
      <c r="I18" s="4" t="s">
        <v>1156</v>
      </c>
      <c r="J18" s="78">
        <f t="shared" si="0"/>
        <v>247.19</v>
      </c>
      <c r="K18">
        <v>145.1</v>
      </c>
      <c r="L18">
        <v>46.76</v>
      </c>
      <c r="M18">
        <v>55.33</v>
      </c>
      <c r="N18" s="78">
        <f t="shared" si="2"/>
        <v>195.8</v>
      </c>
      <c r="O18">
        <v>50.7</v>
      </c>
      <c r="P18">
        <v>145.1</v>
      </c>
      <c r="Q18" t="s">
        <v>156</v>
      </c>
      <c r="R18" s="5" t="s">
        <v>983</v>
      </c>
      <c r="S18">
        <v>38.33</v>
      </c>
      <c r="T18">
        <v>28.89</v>
      </c>
      <c r="U18">
        <v>8.0399999999999991</v>
      </c>
      <c r="V18">
        <v>0.15</v>
      </c>
      <c r="Z18">
        <v>67.48</v>
      </c>
      <c r="AA18">
        <v>0.62</v>
      </c>
      <c r="AB18">
        <v>0.84</v>
      </c>
      <c r="AC18">
        <v>8.2000000000000003E-2</v>
      </c>
      <c r="AF18" s="83">
        <f t="shared" si="1"/>
        <v>1.46</v>
      </c>
      <c r="AJ18" s="5" t="s">
        <v>984</v>
      </c>
      <c r="AK18" t="s">
        <v>738</v>
      </c>
      <c r="AL18" s="5" t="s">
        <v>983</v>
      </c>
      <c r="AM18" t="s">
        <v>1203</v>
      </c>
      <c r="AN18" s="5">
        <v>2024</v>
      </c>
      <c r="AO18">
        <f>377+220</f>
        <v>597</v>
      </c>
      <c r="AP18">
        <v>1977</v>
      </c>
      <c r="AQ18">
        <v>56</v>
      </c>
      <c r="AR18">
        <v>33.75</v>
      </c>
      <c r="AS18">
        <v>61.93</v>
      </c>
      <c r="AT18">
        <v>5.52</v>
      </c>
      <c r="AW18" s="5" t="s">
        <v>985</v>
      </c>
      <c r="AY18" t="str">
        <f t="shared" si="3"/>
        <v>&lt;a href=https://arrowminerals.com.au/project/simandou-north-iron-project/ target="_blank"&gt;View Source&lt;/a&gt;</v>
      </c>
    </row>
    <row r="19" spans="1:51" x14ac:dyDescent="0.25">
      <c r="A19" s="6" t="s">
        <v>917</v>
      </c>
      <c r="B19" s="2" t="s">
        <v>915</v>
      </c>
      <c r="C19" s="6" t="s">
        <v>916</v>
      </c>
      <c r="D19" t="s">
        <v>918</v>
      </c>
      <c r="E19" s="2">
        <v>-19.2118</v>
      </c>
      <c r="F19" s="2">
        <v>-57.579346000000001</v>
      </c>
      <c r="G19" s="2" t="s">
        <v>911</v>
      </c>
      <c r="H19" s="2" t="s">
        <v>1147</v>
      </c>
      <c r="I19" s="4" t="s">
        <v>1156</v>
      </c>
      <c r="J19" s="78">
        <f t="shared" si="0"/>
        <v>890</v>
      </c>
      <c r="L19">
        <v>890</v>
      </c>
      <c r="N19" s="78">
        <f t="shared" si="2"/>
        <v>0</v>
      </c>
      <c r="Q19" t="s">
        <v>865</v>
      </c>
      <c r="R19" s="5" t="s">
        <v>1081</v>
      </c>
      <c r="S19">
        <v>63</v>
      </c>
      <c r="AF19" s="83">
        <f t="shared" si="1"/>
        <v>0</v>
      </c>
      <c r="AJ19" s="5" t="s">
        <v>917</v>
      </c>
      <c r="AK19" t="s">
        <v>717</v>
      </c>
      <c r="AV19" s="5" t="s">
        <v>1082</v>
      </c>
      <c r="AX19" t="s">
        <v>1080</v>
      </c>
      <c r="AY19" t="str">
        <f t="shared" si="3"/>
        <v>&lt;a href=https://www.cadenceminerals.com/projects/amapa-iron/ target="_blank"&gt;View Source&lt;/a&gt;</v>
      </c>
    </row>
    <row r="20" spans="1:51" x14ac:dyDescent="0.25">
      <c r="A20" s="6" t="s">
        <v>1088</v>
      </c>
      <c r="B20" s="2" t="s">
        <v>1083</v>
      </c>
      <c r="C20" s="6" t="s">
        <v>1084</v>
      </c>
      <c r="D20" t="s">
        <v>1019</v>
      </c>
      <c r="E20" s="2">
        <v>-27.736341894604902</v>
      </c>
      <c r="F20" s="2">
        <v>22.990635587903402</v>
      </c>
      <c r="G20" s="2" t="s">
        <v>896</v>
      </c>
      <c r="H20" s="2" t="s">
        <v>1134</v>
      </c>
      <c r="I20" s="4" t="s">
        <v>1156</v>
      </c>
      <c r="J20" s="78">
        <f t="shared" si="0"/>
        <v>349.1</v>
      </c>
      <c r="K20">
        <v>169.1</v>
      </c>
      <c r="L20">
        <v>19.100000000000001</v>
      </c>
      <c r="M20">
        <v>160.9</v>
      </c>
      <c r="N20" s="78">
        <f t="shared" si="2"/>
        <v>629.20000000000005</v>
      </c>
      <c r="O20">
        <v>487.4</v>
      </c>
      <c r="P20">
        <v>141.80000000000001</v>
      </c>
      <c r="Q20" t="s">
        <v>156</v>
      </c>
      <c r="R20" s="5" t="s">
        <v>1085</v>
      </c>
      <c r="S20">
        <v>63</v>
      </c>
      <c r="AF20" s="108">
        <v>6.5</v>
      </c>
      <c r="AK20" t="s">
        <v>717</v>
      </c>
      <c r="AX20" t="s">
        <v>1087</v>
      </c>
      <c r="AY20" t="str">
        <f t="shared" si="3"/>
        <v>&lt;a href=https://lhgmining.com.br/en/operations/ target="_blank"&gt;View Source&lt;/a&gt;</v>
      </c>
    </row>
    <row r="21" spans="1:51" x14ac:dyDescent="0.25">
      <c r="A21" s="6" t="s">
        <v>1089</v>
      </c>
      <c r="B21" s="2" t="s">
        <v>1086</v>
      </c>
      <c r="C21" s="6" t="s">
        <v>1084</v>
      </c>
      <c r="D21" t="s">
        <v>1019</v>
      </c>
      <c r="E21" s="2">
        <v>-28.374761387231</v>
      </c>
      <c r="F21" s="2">
        <v>22.962471944050201</v>
      </c>
      <c r="G21" s="2" t="s">
        <v>896</v>
      </c>
      <c r="H21" s="2" t="s">
        <v>1134</v>
      </c>
      <c r="I21" s="4" t="s">
        <v>1156</v>
      </c>
      <c r="J21" s="78">
        <f t="shared" ref="J21" si="4">K21+L21+M21</f>
        <v>97.5</v>
      </c>
      <c r="K21">
        <v>46</v>
      </c>
      <c r="L21">
        <v>11.2</v>
      </c>
      <c r="M21">
        <v>40.299999999999997</v>
      </c>
      <c r="N21" s="78">
        <f t="shared" ref="N21" si="5">O21+P21</f>
        <v>114.7</v>
      </c>
      <c r="O21">
        <v>105.3</v>
      </c>
      <c r="P21">
        <v>9.4</v>
      </c>
      <c r="Q21" t="s">
        <v>156</v>
      </c>
      <c r="R21" s="5" t="s">
        <v>1085</v>
      </c>
      <c r="S21">
        <v>64</v>
      </c>
      <c r="AF21" s="108">
        <v>6.5</v>
      </c>
      <c r="AK21" t="s">
        <v>717</v>
      </c>
      <c r="AY21" t="str">
        <f t="shared" si="3"/>
        <v>&lt;a href=https://www.angloamerican.com/our-stories/innovation-and-technology/mine-profile-sishen target="_blank"&gt;View Source&lt;/a&gt;</v>
      </c>
    </row>
    <row r="22" spans="1:51" x14ac:dyDescent="0.25">
      <c r="A22" s="6" t="s">
        <v>1017</v>
      </c>
      <c r="B22" s="2" t="s">
        <v>1018</v>
      </c>
      <c r="C22" s="6" t="s">
        <v>1016</v>
      </c>
      <c r="D22" s="2" t="s">
        <v>1071</v>
      </c>
      <c r="E22" s="2">
        <v>71.317236569199693</v>
      </c>
      <c r="F22" s="2">
        <v>-79.271586763867404</v>
      </c>
      <c r="G22" s="2" t="s">
        <v>855</v>
      </c>
      <c r="H22" s="2" t="s">
        <v>1135</v>
      </c>
      <c r="I22" s="4" t="s">
        <v>1156</v>
      </c>
      <c r="J22" s="78">
        <f t="shared" si="0"/>
        <v>86</v>
      </c>
      <c r="K22">
        <v>3</v>
      </c>
      <c r="L22">
        <v>83</v>
      </c>
      <c r="N22" s="78">
        <f t="shared" si="2"/>
        <v>167</v>
      </c>
      <c r="O22">
        <v>91</v>
      </c>
      <c r="P22">
        <v>76</v>
      </c>
      <c r="R22" s="5" t="s">
        <v>1070</v>
      </c>
      <c r="S22">
        <f>+(3*63+83*64.3)/(86)</f>
        <v>64.254651162790694</v>
      </c>
      <c r="AF22" s="83">
        <f t="shared" si="1"/>
        <v>0</v>
      </c>
      <c r="AK22" t="s">
        <v>717</v>
      </c>
      <c r="AL22" s="5" t="s">
        <v>1072</v>
      </c>
      <c r="AM22" t="s">
        <v>1073</v>
      </c>
      <c r="AY22" t="str">
        <f t="shared" si="3"/>
        <v>&lt;a href=https://www.angloamericankumba.com/our-business/operations target="_blank"&gt;View Source&lt;/a&gt;</v>
      </c>
    </row>
    <row r="23" spans="1:51" x14ac:dyDescent="0.25">
      <c r="A23" s="6" t="s">
        <v>989</v>
      </c>
      <c r="B23" s="2" t="s">
        <v>986</v>
      </c>
      <c r="C23" s="6" t="s">
        <v>988</v>
      </c>
      <c r="D23" t="s">
        <v>987</v>
      </c>
      <c r="E23" s="2">
        <v>-18.665049254558799</v>
      </c>
      <c r="F23" s="2">
        <v>-42.888158869606002</v>
      </c>
      <c r="G23" s="2" t="s">
        <v>911</v>
      </c>
      <c r="H23" s="2" t="s">
        <v>1147</v>
      </c>
      <c r="I23" s="4" t="s">
        <v>67</v>
      </c>
      <c r="J23" s="78">
        <f t="shared" si="0"/>
        <v>193.7</v>
      </c>
      <c r="K23">
        <f>37.7+6.5+2.8</f>
        <v>47</v>
      </c>
      <c r="L23">
        <f>45.1+21.1+36.2</f>
        <v>102.4</v>
      </c>
      <c r="M23">
        <v>44.3</v>
      </c>
      <c r="N23" s="78">
        <f t="shared" si="2"/>
        <v>43.3</v>
      </c>
      <c r="O23">
        <v>30.6</v>
      </c>
      <c r="P23">
        <v>12.7</v>
      </c>
      <c r="Q23" t="s">
        <v>156</v>
      </c>
      <c r="R23" s="5" t="s">
        <v>993</v>
      </c>
      <c r="S23">
        <v>29</v>
      </c>
      <c r="T23">
        <v>49.8</v>
      </c>
      <c r="U23">
        <v>3.4</v>
      </c>
      <c r="V23">
        <v>0.05</v>
      </c>
      <c r="X23">
        <v>1.9</v>
      </c>
      <c r="Y23">
        <v>20</v>
      </c>
      <c r="Z23">
        <v>67.8</v>
      </c>
      <c r="AA23">
        <v>1.08</v>
      </c>
      <c r="AB23">
        <v>0.64</v>
      </c>
      <c r="AC23">
        <v>1.0999999999999999E-2</v>
      </c>
      <c r="AE23">
        <v>0.15</v>
      </c>
      <c r="AF23" s="83">
        <f t="shared" si="1"/>
        <v>1.7200000000000002</v>
      </c>
      <c r="AJ23" s="5" t="s">
        <v>992</v>
      </c>
      <c r="AK23" t="s">
        <v>844</v>
      </c>
      <c r="AL23" s="5" t="s">
        <v>991</v>
      </c>
      <c r="AM23" t="s">
        <v>1015</v>
      </c>
      <c r="AN23" s="5">
        <v>2019</v>
      </c>
      <c r="AO23">
        <v>59.8</v>
      </c>
      <c r="AP23">
        <v>114.9</v>
      </c>
      <c r="AQ23">
        <v>32</v>
      </c>
      <c r="AR23">
        <v>29</v>
      </c>
      <c r="AT23">
        <v>1</v>
      </c>
      <c r="AU23">
        <v>17.899999999999999</v>
      </c>
      <c r="AW23" s="5" t="s">
        <v>990</v>
      </c>
      <c r="AY23" t="str">
        <f t="shared" si="3"/>
        <v>&lt;a href=https://www.baffinland.com/operation/mary-river-mine/ target="_blank"&gt;View Source&lt;/a&gt;</v>
      </c>
    </row>
    <row r="24" spans="1:51" x14ac:dyDescent="0.25">
      <c r="A24" s="6" t="s">
        <v>924</v>
      </c>
      <c r="B24" s="2" t="s">
        <v>922</v>
      </c>
      <c r="C24" s="6" t="s">
        <v>925</v>
      </c>
      <c r="D24" t="s">
        <v>923</v>
      </c>
      <c r="E24" s="2">
        <v>1.145437</v>
      </c>
      <c r="F24" s="109">
        <v>13.200098000000001</v>
      </c>
      <c r="G24" s="2" t="s">
        <v>1090</v>
      </c>
      <c r="H24" s="2" t="s">
        <v>1134</v>
      </c>
      <c r="I24" s="4" t="s">
        <v>67</v>
      </c>
      <c r="J24" s="78">
        <f t="shared" si="0"/>
        <v>1000</v>
      </c>
      <c r="L24">
        <v>1000</v>
      </c>
      <c r="N24" s="78">
        <f t="shared" si="2"/>
        <v>0</v>
      </c>
      <c r="R24" s="5" t="s">
        <v>1091</v>
      </c>
      <c r="S24">
        <v>60</v>
      </c>
      <c r="AF24" s="83">
        <f t="shared" si="1"/>
        <v>0</v>
      </c>
      <c r="AK24" t="s">
        <v>844</v>
      </c>
      <c r="AL24" s="5" t="s">
        <v>1092</v>
      </c>
      <c r="AY24" t="str">
        <f t="shared" si="3"/>
        <v>&lt;a href=https://www.centaurus.com.au/site/projects/jambreiro-iron-ore-project target="_blank"&gt;View Source&lt;/a&gt;</v>
      </c>
    </row>
    <row r="25" spans="1:51" x14ac:dyDescent="0.25">
      <c r="A25" s="6" t="s">
        <v>943</v>
      </c>
      <c r="B25" s="2" t="s">
        <v>944</v>
      </c>
      <c r="C25" s="6" t="s">
        <v>942</v>
      </c>
      <c r="D25" t="s">
        <v>926</v>
      </c>
      <c r="E25" s="2">
        <v>-1.97019630796395</v>
      </c>
      <c r="F25" s="110">
        <v>13.5445499384593</v>
      </c>
      <c r="G25" s="2" t="s">
        <v>939</v>
      </c>
      <c r="H25" s="2" t="s">
        <v>1134</v>
      </c>
      <c r="I25" s="4" t="s">
        <v>67</v>
      </c>
      <c r="J25" s="78">
        <f t="shared" si="0"/>
        <v>758.8</v>
      </c>
      <c r="K25">
        <v>229.2</v>
      </c>
      <c r="L25">
        <v>529.6</v>
      </c>
      <c r="N25" s="78">
        <f t="shared" si="2"/>
        <v>100.9</v>
      </c>
      <c r="P25">
        <v>100.9</v>
      </c>
      <c r="Q25" t="s">
        <v>156</v>
      </c>
      <c r="R25" s="5" t="s">
        <v>938</v>
      </c>
      <c r="S25">
        <v>36.700000000000003</v>
      </c>
      <c r="T25">
        <v>38.9</v>
      </c>
      <c r="U25">
        <v>3.2</v>
      </c>
      <c r="V25">
        <v>5.8999999999999997E-2</v>
      </c>
      <c r="W25">
        <v>7.3999999999999996E-2</v>
      </c>
      <c r="X25">
        <v>2.5</v>
      </c>
      <c r="Y25">
        <v>29</v>
      </c>
      <c r="Z25">
        <v>66.400000000000006</v>
      </c>
      <c r="AA25">
        <v>3.5</v>
      </c>
      <c r="AB25">
        <v>0.6</v>
      </c>
      <c r="AC25">
        <v>0</v>
      </c>
      <c r="AD25">
        <v>0</v>
      </c>
      <c r="AE25">
        <v>0.8</v>
      </c>
      <c r="AF25" s="83">
        <f t="shared" si="1"/>
        <v>4.0999999999999996</v>
      </c>
      <c r="AJ25" s="5" t="s">
        <v>937</v>
      </c>
      <c r="AK25" t="s">
        <v>844</v>
      </c>
      <c r="AL25" s="5" t="s">
        <v>937</v>
      </c>
      <c r="AM25" t="s">
        <v>940</v>
      </c>
      <c r="AN25" s="5">
        <v>2022</v>
      </c>
      <c r="AO25">
        <v>200.8</v>
      </c>
      <c r="AP25">
        <v>391</v>
      </c>
      <c r="AQ25">
        <v>38</v>
      </c>
      <c r="AR25">
        <v>59</v>
      </c>
      <c r="AS25">
        <v>67</v>
      </c>
      <c r="AT25">
        <f>5*0.2</f>
        <v>1</v>
      </c>
      <c r="AU25">
        <v>15.7</v>
      </c>
      <c r="AV25" s="5" t="s">
        <v>941</v>
      </c>
      <c r="AW25" s="5" t="s">
        <v>938</v>
      </c>
      <c r="AY25" t="str">
        <f t="shared" si="3"/>
        <v>&lt;a href=https://ivindoiron.ga/fr/belinga-project?amp%3Bsc_site=Ivindo%20Iron target="_blank"&gt;View Source&lt;/a&gt;</v>
      </c>
    </row>
    <row r="26" spans="1:51" x14ac:dyDescent="0.25">
      <c r="A26" s="6" t="s">
        <v>965</v>
      </c>
      <c r="B26" s="2" t="s">
        <v>962</v>
      </c>
      <c r="C26" s="6" t="s">
        <v>964</v>
      </c>
      <c r="D26" t="s">
        <v>963</v>
      </c>
      <c r="E26" s="2">
        <v>7.6590304586725297</v>
      </c>
      <c r="F26" s="2">
        <v>-8.3754784750571893</v>
      </c>
      <c r="G26" s="2" t="s">
        <v>908</v>
      </c>
      <c r="H26" s="2" t="s">
        <v>1134</v>
      </c>
      <c r="I26" s="4" t="s">
        <v>67</v>
      </c>
      <c r="J26">
        <v>751.9</v>
      </c>
      <c r="N26" s="78">
        <f t="shared" si="2"/>
        <v>0</v>
      </c>
      <c r="R26" s="5" t="s">
        <v>965</v>
      </c>
      <c r="Y26">
        <v>48</v>
      </c>
      <c r="Z26">
        <v>67.8</v>
      </c>
      <c r="AF26" s="83">
        <f t="shared" si="1"/>
        <v>0</v>
      </c>
      <c r="AJ26" s="5" t="s">
        <v>965</v>
      </c>
      <c r="AK26" t="s">
        <v>843</v>
      </c>
      <c r="AL26" s="5" t="s">
        <v>966</v>
      </c>
      <c r="AX26" t="s">
        <v>967</v>
      </c>
      <c r="AY26" t="str">
        <f t="shared" si="3"/>
        <v>&lt;a href=https://www.genmingroup.com/mining/baniaka/ target="_blank"&gt;View Source&lt;/a&gt;</v>
      </c>
    </row>
    <row r="27" spans="1:51" x14ac:dyDescent="0.25">
      <c r="A27" s="6" t="s">
        <v>1190</v>
      </c>
      <c r="B27" s="2" t="s">
        <v>995</v>
      </c>
      <c r="C27" s="6" t="s">
        <v>996</v>
      </c>
      <c r="D27" t="s">
        <v>994</v>
      </c>
      <c r="E27" s="2">
        <v>60.121696323597398</v>
      </c>
      <c r="F27" s="2">
        <v>15.073158759243199</v>
      </c>
      <c r="G27" s="2" t="s">
        <v>888</v>
      </c>
      <c r="H27" s="2" t="s">
        <v>1136</v>
      </c>
      <c r="I27" s="4" t="s">
        <v>67</v>
      </c>
      <c r="J27" s="78">
        <f t="shared" si="0"/>
        <v>66.8</v>
      </c>
      <c r="K27">
        <v>9.6</v>
      </c>
      <c r="L27">
        <v>11.8</v>
      </c>
      <c r="M27">
        <v>45.4</v>
      </c>
      <c r="N27" s="78">
        <f t="shared" si="2"/>
        <v>34.1</v>
      </c>
      <c r="O27">
        <v>29.4</v>
      </c>
      <c r="P27">
        <v>4.7</v>
      </c>
      <c r="Q27" t="s">
        <v>156</v>
      </c>
      <c r="R27" s="5" t="s">
        <v>999</v>
      </c>
      <c r="S27">
        <v>40.700000000000003</v>
      </c>
      <c r="V27">
        <v>0.49</v>
      </c>
      <c r="Y27">
        <v>25</v>
      </c>
      <c r="AF27" s="83">
        <f t="shared" si="1"/>
        <v>0</v>
      </c>
      <c r="AK27" t="s">
        <v>738</v>
      </c>
      <c r="AL27" s="5" t="s">
        <v>997</v>
      </c>
      <c r="AM27" t="s">
        <v>998</v>
      </c>
      <c r="AU27">
        <v>24</v>
      </c>
      <c r="AV27" s="5" t="s">
        <v>997</v>
      </c>
      <c r="AY27" t="str">
        <f t="shared" si="3"/>
        <v>&lt;a href=https://ivanhoeatlantic.com/guinea/ target="_blank"&gt;View Source&lt;/a&gt;</v>
      </c>
    </row>
    <row r="28" spans="1:51" x14ac:dyDescent="0.25">
      <c r="A28" s="6" t="s">
        <v>1191</v>
      </c>
      <c r="B28" s="2" t="s">
        <v>1001</v>
      </c>
      <c r="C28" s="6" t="s">
        <v>1003</v>
      </c>
      <c r="D28" t="s">
        <v>1000</v>
      </c>
      <c r="E28" s="2">
        <v>52.933994492857799</v>
      </c>
      <c r="F28" s="2">
        <v>-67.157271158253593</v>
      </c>
      <c r="G28" s="2" t="s">
        <v>855</v>
      </c>
      <c r="H28" s="2" t="s">
        <v>1135</v>
      </c>
      <c r="I28" s="4" t="s">
        <v>67</v>
      </c>
      <c r="J28" s="78">
        <f t="shared" si="0"/>
        <v>527.1</v>
      </c>
      <c r="L28">
        <v>527.1</v>
      </c>
      <c r="N28" s="78">
        <f t="shared" si="2"/>
        <v>0</v>
      </c>
      <c r="Q28" t="s">
        <v>865</v>
      </c>
      <c r="R28" s="5" t="s">
        <v>1002</v>
      </c>
      <c r="S28">
        <v>23.23</v>
      </c>
      <c r="T28">
        <v>42.67</v>
      </c>
      <c r="V28">
        <v>0.04</v>
      </c>
      <c r="Y28">
        <v>15</v>
      </c>
      <c r="Z28">
        <v>71.400000000000006</v>
      </c>
      <c r="AA28">
        <v>0.63</v>
      </c>
      <c r="AB28">
        <v>7.0000000000000007E-2</v>
      </c>
      <c r="AC28">
        <v>0.01</v>
      </c>
      <c r="AE28">
        <v>-2.5299999999999998</v>
      </c>
      <c r="AF28" s="83">
        <f t="shared" si="1"/>
        <v>0.7</v>
      </c>
      <c r="AI28">
        <v>30</v>
      </c>
      <c r="AJ28" s="5" t="s">
        <v>1004</v>
      </c>
      <c r="AK28" t="s">
        <v>738</v>
      </c>
      <c r="AL28" s="5"/>
      <c r="AN28" s="5">
        <v>2025</v>
      </c>
      <c r="AO28">
        <f>647.9+247.5</f>
        <v>895.4</v>
      </c>
      <c r="AP28">
        <v>453</v>
      </c>
      <c r="AQ28">
        <v>19.399999999999999</v>
      </c>
      <c r="AS28">
        <v>50.48</v>
      </c>
      <c r="AT28">
        <v>2.5</v>
      </c>
      <c r="AU28">
        <f>27*AT28</f>
        <v>67.5</v>
      </c>
      <c r="AV28" s="5"/>
      <c r="AW28" s="5" t="s">
        <v>1004</v>
      </c>
      <c r="AY28" t="str">
        <f t="shared" si="3"/>
        <v>&lt;a href=https://nordiciron.se/verksamhet/vara-omraden/blotberget/ target="_blank"&gt;View Source&lt;/a&gt;</v>
      </c>
    </row>
    <row r="29" spans="1:51" x14ac:dyDescent="0.25">
      <c r="A29" s="6" t="s">
        <v>1155</v>
      </c>
      <c r="B29" s="2" t="s">
        <v>1005</v>
      </c>
      <c r="C29" s="6" t="s">
        <v>1154</v>
      </c>
      <c r="D29" t="s">
        <v>1006</v>
      </c>
      <c r="E29" s="2">
        <v>53.120158928365598</v>
      </c>
      <c r="F29" s="2">
        <v>-66.657946912773497</v>
      </c>
      <c r="G29" s="2" t="s">
        <v>855</v>
      </c>
      <c r="H29" s="2" t="s">
        <v>1135</v>
      </c>
      <c r="I29" s="4" t="s">
        <v>67</v>
      </c>
      <c r="J29" s="78">
        <f t="shared" si="0"/>
        <v>654.9</v>
      </c>
      <c r="L29">
        <v>654.9</v>
      </c>
      <c r="N29" s="78">
        <f t="shared" si="2"/>
        <v>0</v>
      </c>
      <c r="Q29" t="s">
        <v>865</v>
      </c>
      <c r="R29" s="5" t="s">
        <v>1153</v>
      </c>
      <c r="S29">
        <v>28.84</v>
      </c>
      <c r="Y29">
        <v>15</v>
      </c>
      <c r="AF29" s="83">
        <f t="shared" si="1"/>
        <v>0</v>
      </c>
      <c r="AK29" t="s">
        <v>845</v>
      </c>
      <c r="AL29" s="5" t="s">
        <v>1007</v>
      </c>
      <c r="AV29" s="5"/>
      <c r="AW29" s="5" t="s">
        <v>1008</v>
      </c>
      <c r="AY29" t="str">
        <f t="shared" si="3"/>
        <v>&lt;a href=https://redparamount.ca/lac-virot-project/ target="_blank"&gt;View Source&lt;/a&gt;</v>
      </c>
    </row>
    <row r="30" spans="1:51" x14ac:dyDescent="0.25">
      <c r="A30" s="6" t="s">
        <v>1099</v>
      </c>
      <c r="B30" t="s">
        <v>1021</v>
      </c>
      <c r="C30" s="6" t="s">
        <v>1100</v>
      </c>
      <c r="D30" t="s">
        <v>1020</v>
      </c>
      <c r="E30" s="2">
        <v>67.403131041639199</v>
      </c>
      <c r="F30" s="2">
        <v>23.335387663292298</v>
      </c>
      <c r="G30" s="2" t="s">
        <v>888</v>
      </c>
      <c r="H30" s="2" t="s">
        <v>1136</v>
      </c>
      <c r="I30" s="4" t="s">
        <v>1156</v>
      </c>
      <c r="J30" s="78">
        <f t="shared" si="0"/>
        <v>131.69999999999999</v>
      </c>
      <c r="K30">
        <v>54.6</v>
      </c>
      <c r="L30">
        <v>24.7</v>
      </c>
      <c r="M30">
        <v>52.4</v>
      </c>
      <c r="N30" s="78">
        <f t="shared" si="2"/>
        <v>0</v>
      </c>
      <c r="Q30" t="s">
        <v>865</v>
      </c>
      <c r="R30" s="5" t="s">
        <v>1022</v>
      </c>
      <c r="S30">
        <v>25.2</v>
      </c>
      <c r="Y30">
        <v>10</v>
      </c>
      <c r="Z30">
        <v>69</v>
      </c>
      <c r="AF30" s="83">
        <f t="shared" si="1"/>
        <v>0</v>
      </c>
      <c r="AK30" t="s">
        <v>717</v>
      </c>
      <c r="AL30" s="5"/>
      <c r="AV30" s="5"/>
      <c r="AX30" t="s">
        <v>1204</v>
      </c>
      <c r="AY30" t="str">
        <f t="shared" si="3"/>
        <v>&lt;a href=https://hightideresources.com/projects/labrador-west/ target="_blank"&gt;View Source&lt;/a&gt;</v>
      </c>
    </row>
    <row r="31" spans="1:51" x14ac:dyDescent="0.25">
      <c r="A31" s="6" t="s">
        <v>1192</v>
      </c>
      <c r="B31" s="2" t="s">
        <v>1009</v>
      </c>
      <c r="C31" s="6" t="s">
        <v>1011</v>
      </c>
      <c r="D31" t="s">
        <v>1010</v>
      </c>
      <c r="E31" s="2">
        <v>39.996739723895402</v>
      </c>
      <c r="F31" s="2">
        <v>-118.273374768783</v>
      </c>
      <c r="G31" s="2" t="s">
        <v>901</v>
      </c>
      <c r="H31" s="2" t="s">
        <v>1135</v>
      </c>
      <c r="I31" s="4" t="s">
        <v>67</v>
      </c>
      <c r="J31" s="78">
        <f t="shared" si="0"/>
        <v>232</v>
      </c>
      <c r="K31">
        <v>151</v>
      </c>
      <c r="L31">
        <v>81</v>
      </c>
      <c r="N31" s="78">
        <f t="shared" si="2"/>
        <v>0</v>
      </c>
      <c r="Q31" t="s">
        <v>156</v>
      </c>
      <c r="R31" s="5" t="s">
        <v>1013</v>
      </c>
      <c r="S31">
        <v>18.600000000000001</v>
      </c>
      <c r="Y31">
        <v>10</v>
      </c>
      <c r="Z31">
        <v>69.5</v>
      </c>
      <c r="AA31">
        <v>1.72</v>
      </c>
      <c r="AB31">
        <v>0.67</v>
      </c>
      <c r="AC31">
        <v>3.0000000000000001E-3</v>
      </c>
      <c r="AD31">
        <v>2E-3</v>
      </c>
      <c r="AE31">
        <v>3.15</v>
      </c>
      <c r="AF31" s="83">
        <f t="shared" si="1"/>
        <v>2.39</v>
      </c>
      <c r="AH31">
        <v>106</v>
      </c>
      <c r="AJ31" s="5" t="s">
        <v>1117</v>
      </c>
      <c r="AK31" t="s">
        <v>845</v>
      </c>
      <c r="AL31" s="5" t="s">
        <v>1012</v>
      </c>
      <c r="AV31" s="5"/>
      <c r="AX31" t="s">
        <v>1014</v>
      </c>
      <c r="AY31" t="str">
        <f t="shared" si="3"/>
        <v>&lt;a href=https://www.kaunisiron.se/en/about-us/our-history/ target="_blank"&gt;View Source&lt;/a&gt;</v>
      </c>
    </row>
    <row r="32" spans="1:51" x14ac:dyDescent="0.25">
      <c r="A32" s="6" t="s">
        <v>1030</v>
      </c>
      <c r="B32" s="2" t="s">
        <v>1023</v>
      </c>
      <c r="C32" s="6" t="s">
        <v>1031</v>
      </c>
      <c r="D32" t="s">
        <v>1024</v>
      </c>
      <c r="E32" s="2">
        <v>60.081055762639103</v>
      </c>
      <c r="F32" s="2">
        <v>14.9772082805208</v>
      </c>
      <c r="G32" s="2" t="s">
        <v>888</v>
      </c>
      <c r="H32" s="2" t="s">
        <v>1136</v>
      </c>
      <c r="I32" s="4" t="s">
        <v>67</v>
      </c>
      <c r="J32" s="78">
        <f t="shared" si="0"/>
        <v>148.30000000000001</v>
      </c>
      <c r="K32">
        <v>115.2</v>
      </c>
      <c r="L32">
        <v>33.1</v>
      </c>
      <c r="N32" s="78">
        <f t="shared" si="2"/>
        <v>82.4</v>
      </c>
      <c r="P32">
        <v>82.4</v>
      </c>
      <c r="Q32" t="s">
        <v>156</v>
      </c>
      <c r="R32" s="5" t="s">
        <v>1032</v>
      </c>
      <c r="S32">
        <v>30.6</v>
      </c>
      <c r="Y32">
        <v>20</v>
      </c>
      <c r="Z32">
        <v>70</v>
      </c>
      <c r="AF32" s="83">
        <f t="shared" si="1"/>
        <v>0</v>
      </c>
      <c r="AK32" t="s">
        <v>738</v>
      </c>
      <c r="AL32" s="5" t="s">
        <v>1025</v>
      </c>
      <c r="AM32" t="s">
        <v>1036</v>
      </c>
      <c r="AN32">
        <v>2022</v>
      </c>
      <c r="AO32">
        <v>559.6</v>
      </c>
      <c r="AP32">
        <v>688</v>
      </c>
      <c r="AQ32">
        <v>26</v>
      </c>
      <c r="AR32">
        <v>53.6</v>
      </c>
      <c r="AS32">
        <v>57.8</v>
      </c>
      <c r="AT32">
        <v>2.2999999999999998</v>
      </c>
      <c r="AU32">
        <v>37.200000000000003</v>
      </c>
      <c r="AV32" s="5"/>
      <c r="AW32" s="5" t="s">
        <v>1033</v>
      </c>
      <c r="AX32" t="s">
        <v>1034</v>
      </c>
      <c r="AY32" t="str">
        <f t="shared" si="3"/>
        <v>&lt;a href=https://www.mmel.com.au/site/projects-and-products/buena-vista-magnetite-project target="_blank"&gt;View Source&lt;/a&gt;</v>
      </c>
    </row>
    <row r="33" spans="1:51" x14ac:dyDescent="0.25">
      <c r="A33" s="6" t="s">
        <v>1140</v>
      </c>
      <c r="B33" s="2" t="s">
        <v>1026</v>
      </c>
      <c r="C33" s="6" t="s">
        <v>931</v>
      </c>
      <c r="D33" t="s">
        <v>930</v>
      </c>
      <c r="E33" s="2">
        <v>60.221023106655402</v>
      </c>
      <c r="F33" s="2">
        <v>17.8641004512398</v>
      </c>
      <c r="G33" s="2" t="s">
        <v>888</v>
      </c>
      <c r="H33" s="2" t="s">
        <v>1136</v>
      </c>
      <c r="I33" s="4" t="s">
        <v>67</v>
      </c>
      <c r="J33" s="78">
        <f t="shared" si="0"/>
        <v>36.799999999999997</v>
      </c>
      <c r="K33">
        <f>11.6+2.2</f>
        <v>13.8</v>
      </c>
      <c r="L33">
        <v>5.7</v>
      </c>
      <c r="M33">
        <v>17.3</v>
      </c>
      <c r="N33" s="78">
        <f t="shared" si="2"/>
        <v>30.9</v>
      </c>
      <c r="P33">
        <v>30.9</v>
      </c>
      <c r="Q33" t="s">
        <v>156</v>
      </c>
      <c r="R33" s="5" t="s">
        <v>1027</v>
      </c>
      <c r="S33">
        <v>30.62</v>
      </c>
      <c r="W33">
        <v>0.21</v>
      </c>
      <c r="Z33">
        <v>68.099999999999994</v>
      </c>
      <c r="AF33" s="83">
        <f t="shared" si="1"/>
        <v>0</v>
      </c>
      <c r="AJ33" s="5" t="s">
        <v>1028</v>
      </c>
      <c r="AK33" t="s">
        <v>738</v>
      </c>
      <c r="AL33" s="5"/>
      <c r="AM33" t="s">
        <v>1029</v>
      </c>
      <c r="AN33">
        <v>2024</v>
      </c>
      <c r="AO33">
        <v>262.39999999999998</v>
      </c>
      <c r="AP33">
        <v>200</v>
      </c>
      <c r="AQ33">
        <v>21.9</v>
      </c>
      <c r="AS33">
        <v>63.3</v>
      </c>
      <c r="AT33">
        <v>1.085</v>
      </c>
      <c r="AU33">
        <v>10</v>
      </c>
      <c r="AV33" s="5"/>
      <c r="AW33" s="5" t="s">
        <v>1028</v>
      </c>
      <c r="AX33" t="s">
        <v>1035</v>
      </c>
      <c r="AY33" t="str">
        <f t="shared" si="3"/>
        <v>&lt;a href=https://www.angleseymining.co.uk/grangesberg/ target="_blank"&gt;View Source&lt;/a&gt;</v>
      </c>
    </row>
    <row r="34" spans="1:51" x14ac:dyDescent="0.25">
      <c r="A34" s="6" t="s">
        <v>1047</v>
      </c>
      <c r="B34" s="2" t="s">
        <v>1037</v>
      </c>
      <c r="C34" s="6" t="s">
        <v>1047</v>
      </c>
      <c r="D34" t="s">
        <v>1038</v>
      </c>
      <c r="E34" s="2">
        <v>-14.3560770057284</v>
      </c>
      <c r="F34" s="2">
        <v>-42.537293015894797</v>
      </c>
      <c r="G34" s="2" t="s">
        <v>911</v>
      </c>
      <c r="H34" s="2" t="s">
        <v>1147</v>
      </c>
      <c r="I34" s="4" t="s">
        <v>1156</v>
      </c>
      <c r="J34" s="78">
        <v>470.5</v>
      </c>
      <c r="N34" s="78">
        <f t="shared" si="2"/>
        <v>0</v>
      </c>
      <c r="R34" s="5" t="s">
        <v>1098</v>
      </c>
      <c r="S34">
        <v>40</v>
      </c>
      <c r="AF34" s="83">
        <f t="shared" si="1"/>
        <v>0</v>
      </c>
      <c r="AK34" t="s">
        <v>738</v>
      </c>
      <c r="AL34" s="5" t="s">
        <v>1039</v>
      </c>
      <c r="AM34" t="s">
        <v>1207</v>
      </c>
      <c r="AV34" s="5" t="s">
        <v>1039</v>
      </c>
      <c r="AX34" t="s">
        <v>1040</v>
      </c>
      <c r="AY34" t="str">
        <f t="shared" si="3"/>
        <v>&lt;a href=https://www.grangex.se/en/the-operation/projects-operational-areas/dannemora-mine/ target="_blank"&gt;View Source&lt;/a&gt;</v>
      </c>
    </row>
    <row r="35" spans="1:51" x14ac:dyDescent="0.25">
      <c r="A35" s="6" t="s">
        <v>1043</v>
      </c>
      <c r="B35" s="2" t="s">
        <v>1042</v>
      </c>
      <c r="C35" s="6" t="s">
        <v>1045</v>
      </c>
      <c r="D35" t="s">
        <v>1041</v>
      </c>
      <c r="E35" s="2">
        <v>-13.304520052754199</v>
      </c>
      <c r="F35" s="2">
        <v>-41.679230245066897</v>
      </c>
      <c r="G35" s="2" t="s">
        <v>911</v>
      </c>
      <c r="H35" s="2" t="s">
        <v>1147</v>
      </c>
      <c r="I35" s="4" t="s">
        <v>67</v>
      </c>
      <c r="J35" s="78">
        <v>1700</v>
      </c>
      <c r="N35" s="78">
        <f t="shared" si="2"/>
        <v>0</v>
      </c>
      <c r="Q35" t="s">
        <v>865</v>
      </c>
      <c r="R35" s="5" t="s">
        <v>1044</v>
      </c>
      <c r="Z35">
        <v>67.5</v>
      </c>
      <c r="AF35" s="83">
        <f t="shared" si="1"/>
        <v>0</v>
      </c>
      <c r="AK35" t="s">
        <v>738</v>
      </c>
      <c r="AL35" s="5" t="s">
        <v>1043</v>
      </c>
      <c r="AM35" t="s">
        <v>1048</v>
      </c>
      <c r="AX35" t="s">
        <v>1046</v>
      </c>
      <c r="AY35" t="str">
        <f t="shared" si="3"/>
        <v>&lt;a href=https://www.bamin.com.br/en target="_blank"&gt;View Source&lt;/a&gt;</v>
      </c>
    </row>
    <row r="36" spans="1:51" x14ac:dyDescent="0.25">
      <c r="A36" s="6" t="s">
        <v>919</v>
      </c>
      <c r="B36" s="84" t="s">
        <v>902</v>
      </c>
      <c r="C36" s="5" t="s">
        <v>863</v>
      </c>
      <c r="D36" s="2" t="s">
        <v>871</v>
      </c>
      <c r="E36" s="2">
        <v>52.853242000000002</v>
      </c>
      <c r="F36" s="2">
        <v>-67.265417999999997</v>
      </c>
      <c r="G36" s="2" t="s">
        <v>855</v>
      </c>
      <c r="H36" s="2" t="s">
        <v>1135</v>
      </c>
      <c r="I36" s="4" t="s">
        <v>21</v>
      </c>
      <c r="J36" s="78">
        <f>K36+L36+M36</f>
        <v>1498.5</v>
      </c>
      <c r="K36">
        <v>1065.5</v>
      </c>
      <c r="L36">
        <v>246.3</v>
      </c>
      <c r="M36">
        <v>186.7</v>
      </c>
      <c r="N36" s="78">
        <f t="shared" ref="N36" si="6">O36+P36</f>
        <v>716.2</v>
      </c>
      <c r="O36">
        <v>183.7</v>
      </c>
      <c r="P36">
        <v>532.5</v>
      </c>
      <c r="Q36" t="s">
        <v>865</v>
      </c>
      <c r="R36" s="5" t="s">
        <v>921</v>
      </c>
      <c r="S36" s="89">
        <f>+(28.7*1252.2+26.6*246.3)/(1252.2+146.3)</f>
        <v>30.382352520557742</v>
      </c>
      <c r="U36">
        <v>0.5</v>
      </c>
      <c r="Z36">
        <v>66.2</v>
      </c>
      <c r="AF36" s="83">
        <f t="shared" si="1"/>
        <v>0</v>
      </c>
      <c r="AJ36" s="5" t="s">
        <v>919</v>
      </c>
      <c r="AK36" t="s">
        <v>717</v>
      </c>
      <c r="AN36">
        <v>2023</v>
      </c>
      <c r="AR36" s="83">
        <f>64.58/1.27</f>
        <v>50.8503937007874</v>
      </c>
      <c r="AT36">
        <v>15</v>
      </c>
      <c r="AU36">
        <v>253.6</v>
      </c>
      <c r="AW36" s="5" t="s">
        <v>921</v>
      </c>
      <c r="AY36" t="str">
        <f t="shared" si="3"/>
        <v>&lt;a href=https://braziliron.com.br/en/ferro-verde-na-chapadadiamantina/ target="_blank"&gt;View Source&lt;/a&gt;</v>
      </c>
    </row>
    <row r="37" spans="1:51" x14ac:dyDescent="0.25">
      <c r="A37" s="6" t="s">
        <v>1057</v>
      </c>
      <c r="B37" s="2" t="s">
        <v>1053</v>
      </c>
      <c r="C37" s="6" t="s">
        <v>1058</v>
      </c>
      <c r="D37" t="s">
        <v>1054</v>
      </c>
      <c r="E37" s="2">
        <v>22.929147247203701</v>
      </c>
      <c r="F37" s="2">
        <v>-12.7806969947378</v>
      </c>
      <c r="G37" s="2" t="s">
        <v>1050</v>
      </c>
      <c r="H37" s="2" t="s">
        <v>1134</v>
      </c>
      <c r="I37" s="4" t="s">
        <v>67</v>
      </c>
      <c r="J37" s="78">
        <f t="shared" si="0"/>
        <v>1870</v>
      </c>
      <c r="K37">
        <v>1170</v>
      </c>
      <c r="L37">
        <v>300</v>
      </c>
      <c r="M37">
        <v>400</v>
      </c>
      <c r="N37" s="78">
        <f t="shared" si="2"/>
        <v>931.2</v>
      </c>
      <c r="O37">
        <v>380</v>
      </c>
      <c r="P37">
        <v>551.20000000000005</v>
      </c>
      <c r="Q37" t="s">
        <v>156</v>
      </c>
      <c r="R37" s="5" t="s">
        <v>1055</v>
      </c>
      <c r="S37">
        <v>36</v>
      </c>
      <c r="T37">
        <v>44</v>
      </c>
      <c r="U37">
        <v>1.1000000000000001</v>
      </c>
      <c r="W37">
        <v>0.04</v>
      </c>
      <c r="X37">
        <v>-0.7</v>
      </c>
      <c r="Y37">
        <v>20</v>
      </c>
      <c r="Z37">
        <v>66.5</v>
      </c>
      <c r="AA37">
        <v>6.3</v>
      </c>
      <c r="AF37" s="83">
        <f t="shared" si="1"/>
        <v>6.3</v>
      </c>
      <c r="AJ37" s="5" t="s">
        <v>1055</v>
      </c>
      <c r="AK37" t="s">
        <v>738</v>
      </c>
      <c r="AN37">
        <v>2015</v>
      </c>
      <c r="AO37">
        <f>224.1+108.4+599.41</f>
        <v>931.91</v>
      </c>
      <c r="AQ37">
        <v>11.3</v>
      </c>
      <c r="AS37">
        <v>51.66</v>
      </c>
      <c r="AT37">
        <v>11</v>
      </c>
      <c r="AU37">
        <v>420</v>
      </c>
      <c r="AW37" s="5" t="s">
        <v>1055</v>
      </c>
      <c r="AX37" s="2" t="s">
        <v>1056</v>
      </c>
      <c r="AY37" t="str">
        <f t="shared" si="3"/>
        <v>&lt;a href=https://www.championiron.com/project/bloom-lake/ target="_blank"&gt;View Source&lt;/a&gt;</v>
      </c>
    </row>
    <row r="38" spans="1:51" x14ac:dyDescent="0.25">
      <c r="A38" s="6" t="s">
        <v>1193</v>
      </c>
      <c r="B38" s="2" t="s">
        <v>1060</v>
      </c>
      <c r="C38" s="5" t="s">
        <v>909</v>
      </c>
      <c r="D38" t="s">
        <v>883</v>
      </c>
      <c r="E38" s="2">
        <v>52.9591843317341</v>
      </c>
      <c r="F38" s="2">
        <v>-66.8925387480555</v>
      </c>
      <c r="G38" s="2" t="s">
        <v>855</v>
      </c>
      <c r="H38" s="2" t="s">
        <v>1135</v>
      </c>
      <c r="I38" s="4" t="s">
        <v>21</v>
      </c>
      <c r="J38" s="78">
        <f>K38+L38+M38</f>
        <v>1642</v>
      </c>
      <c r="K38">
        <v>720</v>
      </c>
      <c r="L38">
        <v>751</v>
      </c>
      <c r="M38">
        <v>171</v>
      </c>
      <c r="N38" s="78">
        <f>O38+P38</f>
        <v>424</v>
      </c>
      <c r="O38">
        <v>149</v>
      </c>
      <c r="P38">
        <v>275</v>
      </c>
      <c r="Q38" t="s">
        <v>156</v>
      </c>
      <c r="R38" s="5" t="s">
        <v>1059</v>
      </c>
      <c r="S38">
        <v>38.6</v>
      </c>
      <c r="T38">
        <v>37.299999999999997</v>
      </c>
      <c r="U38">
        <v>0.2</v>
      </c>
      <c r="V38">
        <v>0.03</v>
      </c>
      <c r="Y38">
        <v>33</v>
      </c>
      <c r="AF38" s="83">
        <f t="shared" si="1"/>
        <v>0</v>
      </c>
      <c r="AK38" t="s">
        <v>717</v>
      </c>
      <c r="AX38" s="2" t="s">
        <v>1061</v>
      </c>
      <c r="AY38" t="str">
        <f t="shared" si="3"/>
        <v>&lt;a href=https://www.mauritanidesmr.com/sponsors/el-aouj-mining-company target="_blank"&gt;View Source&lt;/a&gt;</v>
      </c>
    </row>
    <row r="39" spans="1:51" x14ac:dyDescent="0.25">
      <c r="A39" s="6" t="s">
        <v>934</v>
      </c>
      <c r="B39" s="2" t="s">
        <v>1069</v>
      </c>
      <c r="C39" s="5" t="s">
        <v>886</v>
      </c>
      <c r="D39" t="s">
        <v>885</v>
      </c>
      <c r="E39" s="2">
        <v>52.766450291703201</v>
      </c>
      <c r="F39" s="2">
        <v>-67.318299665545993</v>
      </c>
      <c r="G39" s="2" t="s">
        <v>855</v>
      </c>
      <c r="H39" s="2" t="s">
        <v>1135</v>
      </c>
      <c r="I39" s="4" t="s">
        <v>21</v>
      </c>
      <c r="J39" s="78">
        <f t="shared" si="0"/>
        <v>4710</v>
      </c>
      <c r="K39">
        <v>1569</v>
      </c>
      <c r="L39">
        <v>1617</v>
      </c>
      <c r="M39">
        <v>1524</v>
      </c>
      <c r="N39" s="78">
        <f>O39+P39</f>
        <v>1894</v>
      </c>
      <c r="O39">
        <v>1790</v>
      </c>
      <c r="P39">
        <v>104</v>
      </c>
      <c r="R39" s="5" t="s">
        <v>1070</v>
      </c>
      <c r="S39">
        <f>+(3093*28.7+1617*29.7)/(3093+1617)</f>
        <v>29.043312101910828</v>
      </c>
      <c r="AF39" s="83">
        <f t="shared" si="1"/>
        <v>0</v>
      </c>
      <c r="AK39" t="s">
        <v>717</v>
      </c>
      <c r="AX39" s="2" t="s">
        <v>933</v>
      </c>
      <c r="AY39" t="str">
        <f t="shared" si="3"/>
        <v>&lt;a href=https://www.ironore.ca/en target="_blank"&gt;View Source&lt;/a&gt;</v>
      </c>
    </row>
    <row r="40" spans="1:51" x14ac:dyDescent="0.25">
      <c r="A40" s="6" t="s">
        <v>907</v>
      </c>
      <c r="B40" s="2" t="s">
        <v>1149</v>
      </c>
      <c r="C40" s="6" t="s">
        <v>907</v>
      </c>
      <c r="D40" s="2" t="s">
        <v>884</v>
      </c>
      <c r="E40" s="2">
        <v>-29.449778339646301</v>
      </c>
      <c r="F40" s="2">
        <v>-71.235321005567897</v>
      </c>
      <c r="G40" s="2" t="s">
        <v>1260</v>
      </c>
      <c r="H40" s="2" t="s">
        <v>1147</v>
      </c>
      <c r="I40" s="4" t="s">
        <v>21</v>
      </c>
      <c r="J40" s="78">
        <v>7625.1</v>
      </c>
      <c r="K40" s="78">
        <f>349.8+485.7+8.5+6.3+234.3+181.5+452+199.7+232.8+253.4+305.7</f>
        <v>2709.7</v>
      </c>
      <c r="L40" s="78">
        <f>122.9+186.7+1.6+3.2+383.8+188.8+44.6+90.5+213.1+137.3</f>
        <v>1372.5</v>
      </c>
      <c r="M40" s="78">
        <f>159.2+234.1+116.2+5.8+92.4+67.4+932.5+188.4+187+156.8+160.7</f>
        <v>2300.5</v>
      </c>
      <c r="N40" s="78">
        <v>622</v>
      </c>
      <c r="O40">
        <f>122+105+81+12+3+9+19+5+14</f>
        <v>370</v>
      </c>
      <c r="P40">
        <f>142+171+41+37+28+3+2+6+6</f>
        <v>436</v>
      </c>
      <c r="Q40" t="s">
        <v>156</v>
      </c>
      <c r="R40" s="5" t="s">
        <v>1062</v>
      </c>
      <c r="S40">
        <v>29.6</v>
      </c>
      <c r="Z40">
        <v>66.400000000000006</v>
      </c>
      <c r="AF40" s="83">
        <f t="shared" si="1"/>
        <v>0</v>
      </c>
      <c r="AK40" t="s">
        <v>717</v>
      </c>
      <c r="AX40" s="2" t="s">
        <v>1181</v>
      </c>
      <c r="AY40" t="str">
        <f t="shared" si="3"/>
        <v>&lt;a href=https://mines-infrastructure-arcelormittal.com/en/nos-mines target="_blank"&gt;View Source&lt;/a&gt;</v>
      </c>
    </row>
    <row r="41" spans="1:51" x14ac:dyDescent="0.25">
      <c r="A41" s="6" t="s">
        <v>1096</v>
      </c>
      <c r="B41" s="2" t="s">
        <v>1150</v>
      </c>
      <c r="C41" s="6" t="s">
        <v>1096</v>
      </c>
      <c r="D41" s="2" t="s">
        <v>881</v>
      </c>
      <c r="E41" s="2">
        <v>67.844140859088995</v>
      </c>
      <c r="F41" s="2">
        <v>20.157187395594601</v>
      </c>
      <c r="G41" s="2" t="s">
        <v>888</v>
      </c>
      <c r="H41" s="2" t="s">
        <v>1136</v>
      </c>
      <c r="I41" s="4" t="s">
        <v>21</v>
      </c>
      <c r="J41" s="78">
        <v>6415</v>
      </c>
      <c r="N41" s="78">
        <f>O41+P41</f>
        <v>0</v>
      </c>
      <c r="Q41" t="s">
        <v>1094</v>
      </c>
      <c r="R41" s="5" t="s">
        <v>1095</v>
      </c>
      <c r="S41">
        <v>48.6</v>
      </c>
      <c r="AF41" s="83">
        <f t="shared" si="1"/>
        <v>0</v>
      </c>
      <c r="AK41" t="s">
        <v>717</v>
      </c>
      <c r="AX41" t="s">
        <v>1097</v>
      </c>
      <c r="AY41" t="str">
        <f t="shared" si="3"/>
        <v>&lt;a href=https://www.cmp.cl/ target="_blank"&gt;View Source&lt;/a&gt;</v>
      </c>
    </row>
    <row r="42" spans="1:51" x14ac:dyDescent="0.25">
      <c r="A42" s="6" t="s">
        <v>1106</v>
      </c>
      <c r="B42" s="2" t="s">
        <v>1104</v>
      </c>
      <c r="C42" s="6" t="s">
        <v>1105</v>
      </c>
      <c r="D42" t="s">
        <v>1101</v>
      </c>
      <c r="E42" s="2">
        <v>3.079358</v>
      </c>
      <c r="F42" s="2">
        <v>10.422408000000001</v>
      </c>
      <c r="G42" s="2" t="s">
        <v>1102</v>
      </c>
      <c r="H42" s="2" t="s">
        <v>1134</v>
      </c>
      <c r="I42" s="4" t="s">
        <v>67</v>
      </c>
      <c r="J42" s="78">
        <v>650</v>
      </c>
      <c r="N42" s="78">
        <f t="shared" ref="N42:N47" si="7">O42+P42</f>
        <v>0</v>
      </c>
      <c r="R42" s="5" t="s">
        <v>1106</v>
      </c>
      <c r="S42">
        <v>31.45</v>
      </c>
      <c r="T42">
        <v>47.48</v>
      </c>
      <c r="U42">
        <v>2.98</v>
      </c>
      <c r="V42">
        <v>9.7000000000000003E-2</v>
      </c>
      <c r="W42">
        <v>7.0000000000000007E-2</v>
      </c>
      <c r="X42">
        <v>-0.89</v>
      </c>
      <c r="Z42">
        <v>70.8</v>
      </c>
      <c r="AA42">
        <v>1.42</v>
      </c>
      <c r="AB42">
        <v>0.2</v>
      </c>
      <c r="AC42">
        <v>6.0000000000000001E-3</v>
      </c>
      <c r="AD42">
        <v>2.8000000000000001E-2</v>
      </c>
      <c r="AE42">
        <v>-3.3</v>
      </c>
      <c r="AF42" s="83">
        <f t="shared" si="1"/>
        <v>1.6199999999999999</v>
      </c>
      <c r="AJ42" s="5" t="s">
        <v>1103</v>
      </c>
      <c r="AK42" t="s">
        <v>845</v>
      </c>
      <c r="AL42" s="5" t="s">
        <v>1107</v>
      </c>
      <c r="AM42" t="s">
        <v>1205</v>
      </c>
      <c r="AV42" s="5" t="s">
        <v>1109</v>
      </c>
      <c r="AX42" t="s">
        <v>1108</v>
      </c>
      <c r="AY42" t="str">
        <f t="shared" si="3"/>
        <v>&lt;a href=https://lkab.com/en/ target="_blank"&gt;View Source&lt;/a&gt;</v>
      </c>
    </row>
    <row r="43" spans="1:51" x14ac:dyDescent="0.25">
      <c r="A43" s="6" t="s">
        <v>1111</v>
      </c>
      <c r="B43" s="2" t="s">
        <v>1148</v>
      </c>
      <c r="C43" s="6" t="s">
        <v>1111</v>
      </c>
      <c r="D43" t="s">
        <v>895</v>
      </c>
      <c r="E43" s="2">
        <v>48.121406000973998</v>
      </c>
      <c r="F43" s="2">
        <v>33.547037006075698</v>
      </c>
      <c r="G43" s="2" t="s">
        <v>889</v>
      </c>
      <c r="H43" s="2" t="s">
        <v>1136</v>
      </c>
      <c r="I43" s="4" t="s">
        <v>21</v>
      </c>
      <c r="J43" s="78">
        <f t="shared" si="0"/>
        <v>12284</v>
      </c>
      <c r="K43">
        <v>3862</v>
      </c>
      <c r="L43">
        <v>6142</v>
      </c>
      <c r="M43">
        <v>2280</v>
      </c>
      <c r="N43" s="78">
        <f t="shared" si="7"/>
        <v>2142</v>
      </c>
      <c r="O43">
        <v>1175</v>
      </c>
      <c r="P43">
        <v>967</v>
      </c>
      <c r="Q43" t="s">
        <v>156</v>
      </c>
      <c r="R43" s="5" t="s">
        <v>1110</v>
      </c>
      <c r="S43">
        <v>35.1</v>
      </c>
      <c r="AF43" s="83">
        <f t="shared" si="1"/>
        <v>0</v>
      </c>
      <c r="AJ43" s="5" t="s">
        <v>1112</v>
      </c>
      <c r="AK43" t="s">
        <v>717</v>
      </c>
      <c r="AY43" t="str">
        <f t="shared" si="3"/>
        <v>&lt;a href=https://jindalresources.com/company-camina-sa target="_blank"&gt;View Source&lt;/a&gt;</v>
      </c>
    </row>
    <row r="44" spans="1:51" x14ac:dyDescent="0.25">
      <c r="A44" s="6" t="s">
        <v>1114</v>
      </c>
      <c r="B44" s="2" t="s">
        <v>1118</v>
      </c>
      <c r="C44" s="6" t="s">
        <v>1114</v>
      </c>
      <c r="D44" s="2" t="s">
        <v>1113</v>
      </c>
      <c r="E44" s="2">
        <v>66.406754000000006</v>
      </c>
      <c r="F44" s="110">
        <v>14.536189</v>
      </c>
      <c r="G44" s="2" t="s">
        <v>887</v>
      </c>
      <c r="H44" s="2" t="s">
        <v>1136</v>
      </c>
      <c r="I44" s="4" t="s">
        <v>1156</v>
      </c>
      <c r="J44" s="78">
        <v>400</v>
      </c>
      <c r="N44" s="78">
        <f t="shared" si="7"/>
        <v>0</v>
      </c>
      <c r="R44" s="5" t="s">
        <v>1115</v>
      </c>
      <c r="Z44">
        <v>65</v>
      </c>
      <c r="AF44" s="83">
        <f t="shared" si="1"/>
        <v>0</v>
      </c>
      <c r="AJ44" s="5" t="s">
        <v>1119</v>
      </c>
      <c r="AK44" t="s">
        <v>717</v>
      </c>
      <c r="AL44" s="5" t="s">
        <v>1119</v>
      </c>
      <c r="AM44" t="s">
        <v>1120</v>
      </c>
      <c r="AT44">
        <v>1.8</v>
      </c>
      <c r="AV44" s="5" t="s">
        <v>1116</v>
      </c>
      <c r="AX44" t="s">
        <v>1206</v>
      </c>
      <c r="AY44" t="str">
        <f t="shared" si="3"/>
        <v>&lt;a href=https://metinvestholding.com/ target="_blank"&gt;View Source&lt;/a&gt;</v>
      </c>
    </row>
    <row r="45" spans="1:51" x14ac:dyDescent="0.25">
      <c r="A45" s="6" t="s">
        <v>1123</v>
      </c>
      <c r="B45" s="2" t="s">
        <v>1126</v>
      </c>
      <c r="C45" s="6" t="s">
        <v>1122</v>
      </c>
      <c r="D45" t="s">
        <v>1121</v>
      </c>
      <c r="E45" s="2">
        <v>66.784418223132704</v>
      </c>
      <c r="F45" s="2">
        <v>19.116686681684001</v>
      </c>
      <c r="G45" s="2" t="s">
        <v>888</v>
      </c>
      <c r="H45" s="2" t="s">
        <v>1136</v>
      </c>
      <c r="I45" s="4" t="s">
        <v>67</v>
      </c>
      <c r="J45" s="78">
        <f t="shared" si="0"/>
        <v>170</v>
      </c>
      <c r="K45">
        <v>115</v>
      </c>
      <c r="L45">
        <v>39</v>
      </c>
      <c r="M45">
        <v>16</v>
      </c>
      <c r="N45" s="78">
        <f t="shared" si="7"/>
        <v>0</v>
      </c>
      <c r="R45" s="5" t="s">
        <v>1124</v>
      </c>
      <c r="S45">
        <v>27.8</v>
      </c>
      <c r="T45">
        <v>48.9</v>
      </c>
      <c r="U45">
        <v>4.4000000000000004</v>
      </c>
      <c r="V45">
        <v>0.03</v>
      </c>
      <c r="W45">
        <v>2E-3</v>
      </c>
      <c r="Z45">
        <v>70</v>
      </c>
      <c r="AF45">
        <v>2.5</v>
      </c>
      <c r="AJ45" s="5" t="s">
        <v>1125</v>
      </c>
      <c r="AK45" t="s">
        <v>845</v>
      </c>
      <c r="AL45" s="5" t="s">
        <v>1125</v>
      </c>
      <c r="AP45">
        <v>829</v>
      </c>
      <c r="AQ45">
        <v>31.8</v>
      </c>
      <c r="AT45">
        <v>2.7</v>
      </c>
      <c r="AV45" t="s">
        <v>1127</v>
      </c>
      <c r="AW45" s="5" t="s">
        <v>1125</v>
      </c>
      <c r="AY45" t="str">
        <f t="shared" si="3"/>
        <v>&lt;a href=https://ranagruber.no/ target="_blank"&gt;View Source&lt;/a&gt;</v>
      </c>
    </row>
    <row r="46" spans="1:51" x14ac:dyDescent="0.25">
      <c r="A46" s="6" t="s">
        <v>1144</v>
      </c>
      <c r="B46" s="2" t="s">
        <v>1141</v>
      </c>
      <c r="C46" s="6" t="s">
        <v>1144</v>
      </c>
      <c r="D46" t="s">
        <v>882</v>
      </c>
      <c r="E46" s="2">
        <v>-6.0516503917405</v>
      </c>
      <c r="F46" s="2">
        <v>-50.165701775545998</v>
      </c>
      <c r="G46" s="2" t="s">
        <v>911</v>
      </c>
      <c r="H46" s="2" t="s">
        <v>1147</v>
      </c>
      <c r="I46" s="4" t="s">
        <v>1156</v>
      </c>
      <c r="J46" s="78">
        <f t="shared" si="0"/>
        <v>25871.3</v>
      </c>
      <c r="K46">
        <v>8925.1</v>
      </c>
      <c r="L46">
        <v>8856.5</v>
      </c>
      <c r="M46">
        <v>8089.7</v>
      </c>
      <c r="N46" s="78">
        <f t="shared" si="7"/>
        <v>12100</v>
      </c>
      <c r="O46">
        <v>3729.7</v>
      </c>
      <c r="P46">
        <v>8370.2999999999993</v>
      </c>
      <c r="Q46" t="s">
        <v>1142</v>
      </c>
      <c r="R46" s="5" t="s">
        <v>1143</v>
      </c>
      <c r="S46">
        <v>45.6</v>
      </c>
      <c r="AF46" s="83">
        <f t="shared" si="1"/>
        <v>0</v>
      </c>
      <c r="AK46" t="s">
        <v>717</v>
      </c>
      <c r="AY46" t="str">
        <f t="shared" si="3"/>
        <v>&lt;a href=https://beowulfmining.com/projects/sweden/kallak/ target="_blank"&gt;View Source&lt;/a&gt;</v>
      </c>
    </row>
    <row r="47" spans="1:51" x14ac:dyDescent="0.25">
      <c r="A47" s="6" t="s">
        <v>1145</v>
      </c>
      <c r="B47" s="2" t="s">
        <v>1146</v>
      </c>
      <c r="C47" s="6" t="s">
        <v>1145</v>
      </c>
      <c r="D47" t="s">
        <v>894</v>
      </c>
      <c r="E47" s="2">
        <v>-20.2008922659608</v>
      </c>
      <c r="F47" s="2">
        <v>-43.5071276971874</v>
      </c>
      <c r="G47" s="2" t="s">
        <v>911</v>
      </c>
      <c r="H47" s="2" t="s">
        <v>1147</v>
      </c>
      <c r="I47" s="4" t="s">
        <v>1156</v>
      </c>
      <c r="J47" s="78">
        <f t="shared" si="0"/>
        <v>2170</v>
      </c>
      <c r="K47">
        <v>753</v>
      </c>
      <c r="L47">
        <v>210</v>
      </c>
      <c r="M47">
        <v>1207</v>
      </c>
      <c r="N47" s="78">
        <f t="shared" si="7"/>
        <v>420</v>
      </c>
      <c r="O47">
        <v>45</v>
      </c>
      <c r="P47">
        <v>375</v>
      </c>
      <c r="Q47" t="s">
        <v>1142</v>
      </c>
      <c r="R47" s="5" t="s">
        <v>1143</v>
      </c>
      <c r="S47">
        <v>37.700000000000003</v>
      </c>
      <c r="AF47" s="83">
        <f t="shared" si="1"/>
        <v>0</v>
      </c>
      <c r="AK47" t="s">
        <v>717</v>
      </c>
      <c r="AY47" t="str">
        <f t="shared" si="3"/>
        <v>&lt;a href=https://www.vale.com/ target="_blank"&gt;View Source&lt;/a&gt;</v>
      </c>
    </row>
    <row r="48" spans="1:51" x14ac:dyDescent="0.25">
      <c r="A48" s="6" t="s">
        <v>309</v>
      </c>
      <c r="B48" s="84" t="s">
        <v>516</v>
      </c>
      <c r="C48" s="5" t="s">
        <v>308</v>
      </c>
      <c r="D48" t="s">
        <v>767</v>
      </c>
      <c r="E48" s="88">
        <v>-33.2438</v>
      </c>
      <c r="F48" s="88">
        <v>135.6677</v>
      </c>
      <c r="G48" s="2" t="s">
        <v>890</v>
      </c>
      <c r="H48" s="2" t="s">
        <v>1157</v>
      </c>
      <c r="I48" s="4" t="s">
        <v>67</v>
      </c>
      <c r="J48" s="78">
        <v>4510</v>
      </c>
      <c r="K48" s="78">
        <v>1270</v>
      </c>
      <c r="L48" s="78">
        <v>1018</v>
      </c>
      <c r="M48" s="78">
        <v>2222</v>
      </c>
      <c r="N48" s="78">
        <v>3681</v>
      </c>
      <c r="O48" s="78">
        <v>2131</v>
      </c>
      <c r="P48" s="78">
        <v>1550</v>
      </c>
      <c r="Q48" t="s">
        <v>156</v>
      </c>
      <c r="R48" s="5" t="s">
        <v>164</v>
      </c>
      <c r="S48">
        <v>16</v>
      </c>
      <c r="T48">
        <v>53</v>
      </c>
      <c r="U48">
        <v>13</v>
      </c>
      <c r="V48">
        <v>0.08</v>
      </c>
      <c r="X48">
        <v>3.5</v>
      </c>
      <c r="Z48">
        <v>69.7</v>
      </c>
      <c r="AA48">
        <v>1.22</v>
      </c>
      <c r="AB48">
        <v>1.1000000000000001</v>
      </c>
      <c r="AC48">
        <v>4.0000000000000001E-3</v>
      </c>
      <c r="AF48" s="83">
        <v>2.3200000000000003</v>
      </c>
      <c r="AH48">
        <v>53</v>
      </c>
      <c r="AJ48" s="5" t="s">
        <v>164</v>
      </c>
      <c r="AK48" t="s">
        <v>844</v>
      </c>
      <c r="AL48" s="5" t="s">
        <v>586</v>
      </c>
      <c r="AM48" t="s">
        <v>762</v>
      </c>
      <c r="AN48" s="5">
        <v>2019</v>
      </c>
      <c r="AO48">
        <v>2485.7142857142858</v>
      </c>
      <c r="AP48">
        <v>2400</v>
      </c>
      <c r="AQ48">
        <v>20</v>
      </c>
      <c r="AR48" s="83">
        <v>62.857142857142861</v>
      </c>
      <c r="AT48">
        <v>12</v>
      </c>
      <c r="AU48">
        <v>250</v>
      </c>
      <c r="AW48" t="s">
        <v>1158</v>
      </c>
      <c r="AY48" t="str">
        <f t="shared" si="3"/>
        <v>&lt;a href=https://ri.samarco.com/en/ target="_blank"&gt;View Source&lt;/a&gt;</v>
      </c>
    </row>
    <row r="49" spans="1:51" x14ac:dyDescent="0.25">
      <c r="A49" s="6" t="s">
        <v>312</v>
      </c>
      <c r="B49" s="84" t="s">
        <v>69</v>
      </c>
      <c r="C49" s="5" t="s">
        <v>311</v>
      </c>
      <c r="D49" s="2" t="s">
        <v>127</v>
      </c>
      <c r="E49" s="88">
        <v>-32.438000000000002</v>
      </c>
      <c r="F49" s="88">
        <v>141.149</v>
      </c>
      <c r="G49" s="2" t="s">
        <v>890</v>
      </c>
      <c r="H49" s="2" t="s">
        <v>1157</v>
      </c>
      <c r="I49" s="4" t="s">
        <v>67</v>
      </c>
      <c r="J49" s="78">
        <v>4415</v>
      </c>
      <c r="K49" s="78">
        <v>1882</v>
      </c>
      <c r="L49" s="78">
        <v>2005</v>
      </c>
      <c r="M49" s="78">
        <v>528</v>
      </c>
      <c r="N49" s="78">
        <v>2300</v>
      </c>
      <c r="O49" s="78"/>
      <c r="P49" s="78">
        <v>2300</v>
      </c>
      <c r="Q49" t="s">
        <v>156</v>
      </c>
      <c r="R49" s="5" t="s">
        <v>247</v>
      </c>
      <c r="Z49">
        <v>68.400000000000006</v>
      </c>
      <c r="AA49">
        <v>3.85</v>
      </c>
      <c r="AB49">
        <v>0.3</v>
      </c>
      <c r="AC49">
        <v>8.2000000000000007E-3</v>
      </c>
      <c r="AD49">
        <v>5.5999999999999999E-3</v>
      </c>
      <c r="AE49">
        <v>-2.66</v>
      </c>
      <c r="AF49" s="83">
        <v>4.1500000000000004</v>
      </c>
      <c r="AG49">
        <v>4</v>
      </c>
      <c r="AI49">
        <v>11.4</v>
      </c>
      <c r="AJ49" s="5" t="s">
        <v>247</v>
      </c>
      <c r="AK49" t="s">
        <v>844</v>
      </c>
      <c r="AL49" s="5" t="s">
        <v>579</v>
      </c>
      <c r="AM49" t="s">
        <v>578</v>
      </c>
      <c r="AN49">
        <v>2025</v>
      </c>
      <c r="AO49">
        <v>4960</v>
      </c>
      <c r="AP49">
        <v>1360</v>
      </c>
      <c r="AQ49">
        <v>10.93</v>
      </c>
      <c r="AR49" s="78">
        <v>75.91</v>
      </c>
      <c r="AS49" s="78">
        <v>138.37</v>
      </c>
      <c r="AT49">
        <v>12</v>
      </c>
      <c r="AU49">
        <v>257</v>
      </c>
      <c r="AV49" s="5" t="s">
        <v>811</v>
      </c>
      <c r="AW49" t="s">
        <v>1159</v>
      </c>
      <c r="AY49" t="str">
        <f t="shared" si="3"/>
        <v>&lt;a href=https://www.ironroadlimited.com.au/index.php/central-eyre-iron-project target="_blank"&gt;View Source&lt;/a&gt;</v>
      </c>
    </row>
    <row r="50" spans="1:51" ht="15.75" customHeight="1" x14ac:dyDescent="0.25">
      <c r="A50" s="5" t="s">
        <v>1194</v>
      </c>
      <c r="B50" s="84" t="s">
        <v>81</v>
      </c>
      <c r="C50" s="5" t="s">
        <v>363</v>
      </c>
      <c r="D50" t="s">
        <v>55</v>
      </c>
      <c r="E50" s="88">
        <v>-30.044236999999999</v>
      </c>
      <c r="F50" s="88">
        <v>120.007453</v>
      </c>
      <c r="G50" s="2" t="s">
        <v>890</v>
      </c>
      <c r="H50" s="2" t="s">
        <v>1157</v>
      </c>
      <c r="I50" s="4" t="s">
        <v>67</v>
      </c>
      <c r="J50" s="78">
        <v>1269.7</v>
      </c>
      <c r="K50" s="78">
        <v>218.7</v>
      </c>
      <c r="L50" s="78">
        <v>997.1</v>
      </c>
      <c r="M50" s="78">
        <v>53.9</v>
      </c>
      <c r="N50" s="78">
        <v>236.6</v>
      </c>
      <c r="O50" s="78">
        <v>51.9</v>
      </c>
      <c r="P50" s="78">
        <v>184.7</v>
      </c>
      <c r="Q50" t="s">
        <v>156</v>
      </c>
      <c r="R50" s="5" t="s">
        <v>590</v>
      </c>
      <c r="S50">
        <v>28.344553831613766</v>
      </c>
      <c r="T50">
        <v>49.688973773332279</v>
      </c>
      <c r="U50">
        <v>1.3254469559738522</v>
      </c>
      <c r="V50">
        <v>1.0045837599432936E-2</v>
      </c>
      <c r="X50">
        <v>0.87256044734976757</v>
      </c>
      <c r="Y50">
        <v>15</v>
      </c>
      <c r="Z50">
        <v>66.099999999999994</v>
      </c>
      <c r="AA50">
        <v>4.9000000000000004</v>
      </c>
      <c r="AB50">
        <v>0.1</v>
      </c>
      <c r="AC50">
        <v>0.02</v>
      </c>
      <c r="AD50">
        <v>0.6</v>
      </c>
      <c r="AE50">
        <v>-2.7</v>
      </c>
      <c r="AF50" s="83">
        <v>5</v>
      </c>
      <c r="AG50">
        <v>15</v>
      </c>
      <c r="AI50" s="89">
        <v>30.778924155312275</v>
      </c>
      <c r="AJ50" s="5" t="s">
        <v>219</v>
      </c>
      <c r="AK50" t="s">
        <v>844</v>
      </c>
      <c r="AL50" s="5" t="s">
        <v>560</v>
      </c>
      <c r="AM50" s="92" t="s">
        <v>771</v>
      </c>
      <c r="AN50" s="5">
        <v>2022</v>
      </c>
      <c r="AO50">
        <v>1460.7</v>
      </c>
      <c r="AP50">
        <v>816</v>
      </c>
      <c r="AQ50">
        <v>13</v>
      </c>
      <c r="AR50">
        <v>101.05</v>
      </c>
      <c r="AT50">
        <v>3</v>
      </c>
      <c r="AU50">
        <v>74</v>
      </c>
      <c r="AV50" s="5" t="s">
        <v>219</v>
      </c>
      <c r="AW50" t="s">
        <v>1161</v>
      </c>
      <c r="AY50" t="str">
        <f t="shared" si="3"/>
        <v>&lt;a href=https://hawsons.com.au/hawsons-iron-project/ target="_blank"&gt;View Source&lt;/a&gt;</v>
      </c>
    </row>
    <row r="51" spans="1:51" ht="14.25" customHeight="1" x14ac:dyDescent="0.25">
      <c r="A51" s="6" t="s">
        <v>361</v>
      </c>
      <c r="B51" t="s">
        <v>100</v>
      </c>
      <c r="C51" s="5" t="s">
        <v>360</v>
      </c>
      <c r="D51" t="s">
        <v>119</v>
      </c>
      <c r="E51" s="88">
        <v>-26.127354</v>
      </c>
      <c r="F51" s="88">
        <v>116.31100000000001</v>
      </c>
      <c r="G51" s="2" t="s">
        <v>890</v>
      </c>
      <c r="H51" s="2" t="s">
        <v>1157</v>
      </c>
      <c r="I51" s="4" t="s">
        <v>67</v>
      </c>
      <c r="J51" s="78">
        <v>29.3</v>
      </c>
      <c r="K51" s="78">
        <v>24</v>
      </c>
      <c r="L51" s="78">
        <v>5.3</v>
      </c>
      <c r="M51" s="78"/>
      <c r="N51" s="78"/>
      <c r="O51" s="78"/>
      <c r="P51" s="78"/>
      <c r="Q51" t="s">
        <v>156</v>
      </c>
      <c r="R51" s="5" t="s">
        <v>237</v>
      </c>
      <c r="S51">
        <v>24.7</v>
      </c>
      <c r="T51">
        <v>49.6</v>
      </c>
      <c r="U51">
        <v>5.68</v>
      </c>
      <c r="V51">
        <v>5.0999999999999997E-2</v>
      </c>
      <c r="W51">
        <v>0.08</v>
      </c>
      <c r="X51">
        <v>-4.3999999999999997E-2</v>
      </c>
      <c r="Y51">
        <v>10</v>
      </c>
      <c r="Z51">
        <v>70</v>
      </c>
      <c r="AA51">
        <v>1.78</v>
      </c>
      <c r="AB51">
        <v>0.39</v>
      </c>
      <c r="AC51">
        <v>2E-3</v>
      </c>
      <c r="AD51">
        <v>3.4000000000000002E-2</v>
      </c>
      <c r="AF51" s="83">
        <v>2.17</v>
      </c>
      <c r="AH51">
        <v>150</v>
      </c>
      <c r="AJ51" s="5" t="s">
        <v>490</v>
      </c>
      <c r="AK51" t="s">
        <v>844</v>
      </c>
      <c r="AL51" s="5" t="s">
        <v>567</v>
      </c>
      <c r="AM51" s="92" t="s">
        <v>793</v>
      </c>
      <c r="AN51" s="5">
        <v>2024</v>
      </c>
      <c r="AO51">
        <v>111</v>
      </c>
      <c r="AP51">
        <v>194</v>
      </c>
      <c r="AQ51">
        <v>32</v>
      </c>
      <c r="AR51">
        <v>118.63</v>
      </c>
      <c r="AS51">
        <v>194.37</v>
      </c>
      <c r="AT51">
        <v>2.4</v>
      </c>
      <c r="AU51">
        <v>17</v>
      </c>
      <c r="AV51" s="5" t="s">
        <v>568</v>
      </c>
      <c r="AW51" t="s">
        <v>1160</v>
      </c>
      <c r="AY51" t="str">
        <f t="shared" si="3"/>
        <v>&lt;a href=https://macarthurminerals.com/lake-giles-processing-plant-conceptual-flythrough/ target="_blank"&gt;View Source&lt;/a&gt;</v>
      </c>
    </row>
    <row r="52" spans="1:51" x14ac:dyDescent="0.25">
      <c r="A52" s="6" t="s">
        <v>314</v>
      </c>
      <c r="B52" s="84" t="s">
        <v>316</v>
      </c>
      <c r="C52" s="5" t="s">
        <v>313</v>
      </c>
      <c r="D52" t="s">
        <v>44</v>
      </c>
      <c r="E52" s="88">
        <v>-32.9565779717</v>
      </c>
      <c r="F52" s="88">
        <v>139.7123104325</v>
      </c>
      <c r="G52" s="2" t="s">
        <v>890</v>
      </c>
      <c r="H52" s="2" t="s">
        <v>1157</v>
      </c>
      <c r="I52" s="4" t="s">
        <v>67</v>
      </c>
      <c r="J52" s="78">
        <f t="shared" ref="J52" si="8">K52+L52+M52</f>
        <v>3837</v>
      </c>
      <c r="K52" s="78">
        <v>1973</v>
      </c>
      <c r="L52" s="78">
        <v>1864</v>
      </c>
      <c r="M52" s="78"/>
      <c r="N52" s="78">
        <f>O52+P52</f>
        <v>1977</v>
      </c>
      <c r="O52" s="78"/>
      <c r="P52" s="78">
        <v>1977</v>
      </c>
      <c r="Q52" t="s">
        <v>156</v>
      </c>
      <c r="R52" s="5" t="s">
        <v>317</v>
      </c>
      <c r="S52" s="92">
        <v>17.399999999999999</v>
      </c>
      <c r="T52" s="92">
        <v>48.92</v>
      </c>
      <c r="U52" s="92">
        <v>8.2799999999999994</v>
      </c>
      <c r="V52" s="92">
        <v>0.18</v>
      </c>
      <c r="W52" s="92"/>
      <c r="X52" s="92">
        <v>5.59</v>
      </c>
      <c r="Y52" s="92">
        <v>8</v>
      </c>
      <c r="Z52">
        <v>67.5</v>
      </c>
      <c r="AA52" s="92">
        <v>3.9</v>
      </c>
      <c r="AB52" s="92">
        <v>0.4</v>
      </c>
      <c r="AC52" s="92">
        <v>0.02</v>
      </c>
      <c r="AD52" s="92">
        <v>3.0000000000000001E-3</v>
      </c>
      <c r="AE52" s="92"/>
      <c r="AF52" s="83">
        <f t="shared" ref="AF52" si="9">AA52+AB52</f>
        <v>4.3</v>
      </c>
      <c r="AG52" s="92"/>
      <c r="AH52" s="92">
        <v>40</v>
      </c>
      <c r="AI52" s="92">
        <v>15.06</v>
      </c>
      <c r="AJ52" s="5" t="s">
        <v>451</v>
      </c>
      <c r="AK52" t="s">
        <v>843</v>
      </c>
      <c r="AL52" s="5" t="s">
        <v>544</v>
      </c>
      <c r="AM52" t="s">
        <v>1139</v>
      </c>
      <c r="AN52" s="5">
        <v>2021</v>
      </c>
      <c r="AO52">
        <v>572</v>
      </c>
      <c r="AP52">
        <v>296</v>
      </c>
      <c r="AQ52" s="92">
        <v>14</v>
      </c>
      <c r="AR52" s="92">
        <f>3.03+4.48+0.87+0.86+24.4</f>
        <v>33.64</v>
      </c>
      <c r="AS52" s="92">
        <v>66</v>
      </c>
      <c r="AT52" s="92">
        <v>1.9</v>
      </c>
      <c r="AU52" s="92">
        <v>68</v>
      </c>
      <c r="AV52" s="5" t="s">
        <v>144</v>
      </c>
      <c r="AW52" t="s">
        <v>1162</v>
      </c>
      <c r="AY52" t="str">
        <f t="shared" si="3"/>
        <v>&lt;a href=https://athenaresources.com.au/byro-industrial-metals/ target="_blank"&gt;View Source&lt;/a&gt;</v>
      </c>
    </row>
    <row r="53" spans="1:51" x14ac:dyDescent="0.25">
      <c r="A53" s="6" t="s">
        <v>366</v>
      </c>
      <c r="B53" s="84" t="s">
        <v>15</v>
      </c>
      <c r="C53" s="6" t="s">
        <v>366</v>
      </c>
      <c r="D53" t="s">
        <v>40</v>
      </c>
      <c r="E53" s="88">
        <v>-32.997999999999998</v>
      </c>
      <c r="F53" s="88">
        <v>137.15600000000001</v>
      </c>
      <c r="G53" s="2" t="s">
        <v>890</v>
      </c>
      <c r="H53" s="2" t="s">
        <v>1157</v>
      </c>
      <c r="I53" s="4" t="s">
        <v>1156</v>
      </c>
      <c r="J53" s="78">
        <f>K53+L53+M53</f>
        <v>1541</v>
      </c>
      <c r="K53" s="78"/>
      <c r="L53" s="78">
        <v>1541</v>
      </c>
      <c r="M53" s="78"/>
      <c r="N53" s="78">
        <f t="shared" ref="N53:N54" si="10">O53+P53</f>
        <v>0</v>
      </c>
      <c r="O53" s="78"/>
      <c r="P53" s="78"/>
      <c r="Q53" t="s">
        <v>156</v>
      </c>
      <c r="R53" s="5" t="s">
        <v>269</v>
      </c>
      <c r="S53">
        <v>30.4</v>
      </c>
      <c r="T53">
        <v>48.8</v>
      </c>
      <c r="Z53">
        <v>65.400000000000006</v>
      </c>
      <c r="AA53">
        <v>8.1</v>
      </c>
      <c r="AB53">
        <v>0.09</v>
      </c>
      <c r="AD53">
        <v>0.19</v>
      </c>
      <c r="AF53" s="83">
        <f t="shared" ref="AF53:AF54" si="11">AA53+AB53</f>
        <v>8.19</v>
      </c>
      <c r="AH53">
        <v>38</v>
      </c>
      <c r="AI53">
        <v>34.299999999999997</v>
      </c>
      <c r="AJ53" s="5" t="s">
        <v>269</v>
      </c>
      <c r="AK53" t="s">
        <v>717</v>
      </c>
      <c r="AL53" s="5" t="s">
        <v>529</v>
      </c>
      <c r="AM53" t="s">
        <v>645</v>
      </c>
      <c r="AW53" t="s">
        <v>646</v>
      </c>
      <c r="AY53" t="str">
        <f t="shared" si="3"/>
        <v>&lt;a href=https://www.magnetitemines.com/razorback-iron-ore-project target="_blank"&gt;View Source&lt;/a&gt;</v>
      </c>
    </row>
    <row r="54" spans="1:51" x14ac:dyDescent="0.25">
      <c r="A54" s="6" t="s">
        <v>368</v>
      </c>
      <c r="B54" s="79" t="s">
        <v>1178</v>
      </c>
      <c r="C54" s="6" t="s">
        <v>367</v>
      </c>
      <c r="D54" t="s">
        <v>24</v>
      </c>
      <c r="E54" s="2">
        <v>-34.461426400000001</v>
      </c>
      <c r="F54" s="2">
        <v>135.79061970000001</v>
      </c>
      <c r="G54" s="2" t="s">
        <v>890</v>
      </c>
      <c r="H54" s="2" t="s">
        <v>1157</v>
      </c>
      <c r="I54" s="4" t="s">
        <v>67</v>
      </c>
      <c r="J54" s="78">
        <f>K54+L54+M54</f>
        <v>1245</v>
      </c>
      <c r="K54" s="78">
        <v>386</v>
      </c>
      <c r="L54" s="78">
        <v>848</v>
      </c>
      <c r="M54">
        <v>11</v>
      </c>
      <c r="N54" s="78">
        <f t="shared" si="10"/>
        <v>0</v>
      </c>
      <c r="Q54" t="s">
        <v>156</v>
      </c>
      <c r="R54" s="5" t="s">
        <v>257</v>
      </c>
      <c r="S54">
        <v>25.7</v>
      </c>
      <c r="T54">
        <v>47.1</v>
      </c>
      <c r="Z54">
        <v>66.400000000000006</v>
      </c>
      <c r="AA54">
        <v>5</v>
      </c>
      <c r="AF54" s="83">
        <f t="shared" si="11"/>
        <v>5</v>
      </c>
      <c r="AI54">
        <v>22</v>
      </c>
      <c r="AJ54" s="5" t="s">
        <v>257</v>
      </c>
      <c r="AK54" t="s">
        <v>738</v>
      </c>
      <c r="AL54" s="5" t="s">
        <v>452</v>
      </c>
      <c r="AY54" t="str">
        <f t="shared" si="3"/>
        <v>&lt;a href=https://gfgalliancewhyalla.com/about-us/mining/ target="_blank"&gt;View Source&lt;/a&gt;</v>
      </c>
    </row>
  </sheetData>
  <autoFilter ref="A1:AX54" xr:uid="{23FD737F-5021-44AC-8338-C6E26E8CD685}"/>
  <phoneticPr fontId="6" type="noConversion"/>
  <conditionalFormatting sqref="B48:B51">
    <cfRule type="duplicateValues" dxfId="5" priority="6"/>
  </conditionalFormatting>
  <conditionalFormatting sqref="B52">
    <cfRule type="duplicateValues" dxfId="4" priority="5"/>
  </conditionalFormatting>
  <conditionalFormatting sqref="B53">
    <cfRule type="duplicateValues" dxfId="3" priority="3"/>
  </conditionalFormatting>
  <conditionalFormatting sqref="B54">
    <cfRule type="duplicateValues" dxfId="2" priority="1"/>
    <cfRule type="duplicateValues" dxfId="1" priority="2"/>
  </conditionalFormatting>
  <conditionalFormatting sqref="B55:B1048576 B46:B47 D40 D9 B1:B7 B13:B14 B16:B17 B22:B29 B19 B10:B11 B31:B38">
    <cfRule type="duplicateValues" dxfId="0" priority="51"/>
  </conditionalFormatting>
  <dataValidations count="1">
    <dataValidation type="list" allowBlank="1" showInputMessage="1" showErrorMessage="1" sqref="AK53" xr:uid="{FCCCB7BF-A6F0-41BA-B74B-1F87C2D3B6B4}">
      <formula1>#REF!</formula1>
    </dataValidation>
  </dataValidations>
  <hyperlinks>
    <hyperlink ref="AN2" r:id="rId1" display="https://www.zanagairon.com/documents/investor-day-presentation/" xr:uid="{A4F604EF-6A9B-4813-9720-9A637AEF9444}"/>
    <hyperlink ref="AN5" r:id="rId2" display="https://cerradogold.com/images/Projects/Mont_Sorcier/VONE-PEA-SEPT2022_compressed.pdf" xr:uid="{18B5C173-8E06-427B-AD77-381FD148C3D6}"/>
    <hyperlink ref="AJ5" r:id="rId3" xr:uid="{3E001A91-16B3-4079-856B-738702FF802E}"/>
    <hyperlink ref="AN3" r:id="rId4" display="https://www.championiron.com/wp-content/uploads/2024/03/2024-03-14-champion-iron-pre-feasibility-study-for-the-kamistiatusset-kami-iron-ore-property.pdf" xr:uid="{F39D381F-A008-4369-8537-F86575AF5D0B}"/>
    <hyperlink ref="AV3" r:id="rId5" xr:uid="{2C7F7936-6EEE-45CF-8732-409899F952B2}"/>
    <hyperlink ref="AW3" r:id="rId6" xr:uid="{BF8611EB-BA0D-43E5-B9CA-37EF3A9F734B}"/>
    <hyperlink ref="AL2" r:id="rId7" xr:uid="{296B6164-7A9B-4D6E-BB6C-D685CCEAF998}"/>
    <hyperlink ref="AJ2" r:id="rId8" xr:uid="{59D4A5DA-4A05-402B-8F4B-387D6133ED14}"/>
    <hyperlink ref="AW2" r:id="rId9" xr:uid="{FC9BF3AF-E407-415D-817E-272B63B92AEB}"/>
    <hyperlink ref="C8" r:id="rId10" xr:uid="{4F79D88A-E926-4D67-82F5-02BDFD93B4AE}"/>
    <hyperlink ref="AW11" r:id="rId11" xr:uid="{DDFE8648-99E1-4AD5-8AD0-08213F5DF3C2}"/>
    <hyperlink ref="R11" r:id="rId12" xr:uid="{D67E0C4A-10AD-456A-AA05-82DC7820C1FC}"/>
    <hyperlink ref="AJ11" r:id="rId13" xr:uid="{08BE691E-8067-45B9-B6DC-05AD0269AB65}"/>
    <hyperlink ref="AJ8" r:id="rId14" xr:uid="{78BADAA8-C2AF-4298-859D-9847663386AA}"/>
    <hyperlink ref="AN8" r:id="rId15" display="https://oceanicironore.com/_resources/pdfs/oceanic-tech-report-20200131.pdf" xr:uid="{F48EB43C-570D-4ACE-BA67-47C3197D0693}"/>
    <hyperlink ref="C40" r:id="rId16" xr:uid="{E7B725F6-4644-41E7-9DC4-D409DCDFD37E}"/>
    <hyperlink ref="C15" r:id="rId17" xr:uid="{878A485A-9894-41D0-9DAC-E161821460E9}"/>
    <hyperlink ref="AN9" r:id="rId18" display="https://blackiron.com/wp-content/uploads/2021/07/202003-Black-Iron-Amended-PEA.pdf" xr:uid="{12C59C14-A53C-491C-AAA5-A4550B54A855}"/>
    <hyperlink ref="C11" r:id="rId19" xr:uid="{B9349680-E602-4001-886E-EF0E7FFE84B5}"/>
    <hyperlink ref="A11" r:id="rId20" xr:uid="{856DAF6A-0458-41D8-B8E1-0AC62355CED7}"/>
    <hyperlink ref="C19" r:id="rId21" xr:uid="{173203DF-34A9-4ED1-8CFB-8FF28DC90EFC}"/>
    <hyperlink ref="A19" r:id="rId22" xr:uid="{72B2968A-57A5-4EFC-9949-C777858137E1}"/>
    <hyperlink ref="A36" r:id="rId23" xr:uid="{56BECAE6-65D4-4847-BA8E-45E38ECC00F6}"/>
    <hyperlink ref="R36" r:id="rId24" xr:uid="{BC6A2EA7-921C-48CE-A033-7CCFC7F5C967}"/>
    <hyperlink ref="AW36" r:id="rId25" xr:uid="{12D886A9-A0B8-43B1-94F5-3B792568EE56}"/>
    <hyperlink ref="A24" r:id="rId26" xr:uid="{44B89D6F-2AD0-40DD-AE21-493122D3E373}"/>
    <hyperlink ref="C24" r:id="rId27" xr:uid="{B61DF29A-5C8A-4E58-9C23-857D89987003}"/>
    <hyperlink ref="A14" r:id="rId28" xr:uid="{D568865F-FFE0-40EF-BBB1-DB2086D2DFBC}"/>
    <hyperlink ref="C14" r:id="rId29" xr:uid="{AC18CD6B-AF10-4081-A22F-091A17B89CC8}"/>
    <hyperlink ref="AN14" r:id="rId30" display="https://www.grangex.se/en/wp-content/uploads/sites/2/2021/10/sydvaranger-drift-as-dfs-exec-summary.pdf" xr:uid="{87ADED53-AE8E-48B1-BEFE-2EF9EEAC3315}"/>
    <hyperlink ref="R14" r:id="rId31" xr:uid="{9FC33FA0-BBCD-47C1-9BD6-808165FFDE04}"/>
    <hyperlink ref="C39" r:id="rId32" xr:uid="{0C751633-9C22-47B9-98F6-7E6675D5B49B}"/>
    <hyperlink ref="A39" r:id="rId33" xr:uid="{5F50F58E-F37E-474D-9729-AC59C90B6723}"/>
    <hyperlink ref="C5" r:id="rId34" xr:uid="{0DB8E7F9-25B9-44AA-84D1-D745FEA8D87C}"/>
    <hyperlink ref="A5" r:id="rId35" xr:uid="{DC7152E3-9EBB-477A-B43C-7683184A7A7E}"/>
    <hyperlink ref="AL25" r:id="rId36" xr:uid="{EDEE09DD-E397-439D-8D8D-225641E2E459}"/>
    <hyperlink ref="R25" r:id="rId37" xr:uid="{E469BC27-28DA-421B-B194-BE1F5258992C}"/>
    <hyperlink ref="AN25" r:id="rId38" display="https://minedocs.com/25/Baniaka-PFS-11162022.pdf" xr:uid="{58C8680E-C9C0-4343-B6F1-E43D98ABDCB4}"/>
    <hyperlink ref="AW25" r:id="rId39" xr:uid="{85D941C0-A2BC-4EF5-B3C1-085C18F91619}"/>
    <hyperlink ref="AV25" r:id="rId40" xr:uid="{823AF21C-31F7-4013-B327-E8C968C46A1D}"/>
    <hyperlink ref="C25" r:id="rId41" xr:uid="{E458AE69-F0D4-49A1-B4A8-6DEE62C2314C}"/>
    <hyperlink ref="A25" r:id="rId42" xr:uid="{14793890-C527-45A9-AF0B-7C9F1E46DA6E}"/>
    <hyperlink ref="AH6" r:id="rId43" display="https://announcements.asx.com.au/asxpdf/20250704/pdf/06lh9vw8ljkdd2.pdf" xr:uid="{15DA9D14-D205-4916-B31C-D0E5616B780F}"/>
    <hyperlink ref="AN6" r:id="rId44" display="https://api.investi.com.au/api/announcements/cle/6f8e886b-bba.pdf" xr:uid="{177731D1-FD0C-4132-871A-82562D200E5F}"/>
    <hyperlink ref="C13" r:id="rId45" xr:uid="{DFA22AFE-5527-4B75-B5EF-7F699EECD0DF}"/>
    <hyperlink ref="A13" r:id="rId46" xr:uid="{DD569FC5-D24B-47FF-99C3-6FDDEF67A1AC}"/>
    <hyperlink ref="AN13" r:id="rId47" display="https://drive.google.com/file/d/1QYpi4MknA1R9oUfh4Q7YvP97mrJFV5VG/view" xr:uid="{1049FD24-8478-4295-AFFD-C36614BCE1BF}"/>
    <hyperlink ref="AL13" r:id="rId48" xr:uid="{9C68AD13-28D0-40AD-B5D8-177B4CC182D6}"/>
    <hyperlink ref="AW13" r:id="rId49" xr:uid="{6BF01912-0067-48F2-BE32-786618288EBA}"/>
    <hyperlink ref="A16" r:id="rId50" xr:uid="{7A7ECBFA-CE15-46C4-860A-F6580879B6E6}"/>
    <hyperlink ref="R16" r:id="rId51" xr:uid="{2A240A83-7C18-4DBC-9775-C06111528165}"/>
    <hyperlink ref="AN16" r:id="rId52" display="http://centuryglobal.ca/wp-content/uploads/2015/10/TR_PEA_2015-04-14_FullMoon.pdf" xr:uid="{588340A2-2EFA-4B84-ABC4-6483B2A6231F}"/>
    <hyperlink ref="AW16" r:id="rId53" xr:uid="{4360FB3D-D57C-491F-9AFA-42425594C3C3}"/>
    <hyperlink ref="AL14" r:id="rId54" xr:uid="{AE16B2B3-EFAF-40AC-ABF3-91EFDB02E8A6}"/>
    <hyperlink ref="AL11" r:id="rId55" xr:uid="{C5A2EE5C-B3CA-4602-8344-D3CFF4D27456}"/>
    <hyperlink ref="C16" r:id="rId56" xr:uid="{54EC70A5-BF50-4B1A-A550-20418D5AA612}"/>
    <hyperlink ref="AJ16" r:id="rId57" xr:uid="{7CD8B990-D54C-42C1-AC3B-51A414FD403A}"/>
    <hyperlink ref="AL16" r:id="rId58" xr:uid="{67A4927D-026F-45F7-8006-716B0E943546}"/>
    <hyperlink ref="C26" r:id="rId59" xr:uid="{435CFEC4-5A72-42AF-A564-00A315DE413E}"/>
    <hyperlink ref="A26" r:id="rId60" xr:uid="{26A98035-D1C0-45C4-BAD9-51D06D91BAAD}"/>
    <hyperlink ref="R26" r:id="rId61" xr:uid="{AE9251D7-84C9-4EBB-BF13-624B0D9E92B3}"/>
    <hyperlink ref="AL26" r:id="rId62" xr:uid="{7C2B0764-5164-49F7-88C5-97C6807F1116}"/>
    <hyperlink ref="AJ26" r:id="rId63" xr:uid="{CC960A93-6745-4EE6-9659-E7DB70E66AE0}"/>
    <hyperlink ref="AJ25" r:id="rId64" xr:uid="{CB99C3EC-21EC-4FAE-8E12-BAC136CC1EB0}"/>
    <hyperlink ref="A17" r:id="rId65" xr:uid="{EB939824-8311-4E96-A332-E9D32F834CEE}"/>
    <hyperlink ref="C17" r:id="rId66" xr:uid="{B7A2D81C-259A-4364-A7B2-42FE146AFEA3}"/>
    <hyperlink ref="R17" r:id="rId67" xr:uid="{0DDD399F-27CE-43B6-8B53-A829B71E1F0A}"/>
    <hyperlink ref="AV17" r:id="rId68" xr:uid="{279B17F8-63AE-4E79-AC4B-62673FC94043}"/>
    <hyperlink ref="AJ17" r:id="rId69" xr:uid="{63003DB6-16E9-4F8B-8C14-17C5AEB93EAE}"/>
    <hyperlink ref="AL17" r:id="rId70" xr:uid="{AC891C4F-3B78-40CA-A3A6-959F6FD1FAB9}"/>
    <hyperlink ref="AJ14" r:id="rId71" xr:uid="{CAD24C72-A7A2-4F4A-9429-7A83F334355B}"/>
    <hyperlink ref="AV14" r:id="rId72" xr:uid="{6CDE4729-8D2A-415C-BFA5-66EDC5DD9225}"/>
    <hyperlink ref="AL9" r:id="rId73" xr:uid="{F0F92BC1-4DC9-4306-891A-65727342C031}"/>
    <hyperlink ref="A18" r:id="rId74" xr:uid="{0413ACC9-ACA7-489C-920E-25E255D0E32E}"/>
    <hyperlink ref="C18" r:id="rId75" xr:uid="{D49DBAF3-2354-4F84-BE38-1BC25FB42223}"/>
    <hyperlink ref="R18" r:id="rId76" xr:uid="{5B94F6A3-64A8-4478-A828-D128D07437BA}"/>
    <hyperlink ref="AJ18" r:id="rId77" xr:uid="{17876B50-07CA-438B-B4C5-139DB763E28D}"/>
    <hyperlink ref="AN18" r:id="rId78" display="https://www.londonstockexchange.com/news-article/KDNC/updated-pfs-economic-study-delivers-increased-npv/16791904" xr:uid="{4DBEC69F-8922-43A9-BA0E-5941FC0BCDC8}"/>
    <hyperlink ref="AL18" r:id="rId79" xr:uid="{A57BAAFC-30E2-4E6A-89F6-B639E7FAD7E9}"/>
    <hyperlink ref="C23" r:id="rId80" xr:uid="{ED44A118-B3FB-43AC-9DFC-6920E76129E4}"/>
    <hyperlink ref="A23" r:id="rId81" xr:uid="{7C5DEA07-C894-4314-AAA1-0C42D9AD2AA6}"/>
    <hyperlink ref="AN23" r:id="rId82" display="https://www.centaurus.com.au/site/PDF/e4290ac9-e55d-4ff9-893c-d4708aecb9bf/JambreiroPreFeasibilityStudyannouncement" xr:uid="{1210D637-BBE9-4C61-B02A-E54878EF1A47}"/>
    <hyperlink ref="AW23" r:id="rId83" xr:uid="{8FE1C244-25A7-499B-A73A-B265ABD0C9DF}"/>
    <hyperlink ref="AL23" r:id="rId84" xr:uid="{213DD35A-C55E-4445-B86E-BF71E1851663}"/>
    <hyperlink ref="AJ23" r:id="rId85" xr:uid="{4402CC2E-333E-44C3-A92D-4E854DA3F95F}"/>
    <hyperlink ref="R23" r:id="rId86" xr:uid="{8E27BD17-C4EE-4802-9077-EE121826A36C}"/>
    <hyperlink ref="C27" r:id="rId87" xr:uid="{3ADD0A1E-D0D4-4079-9EA1-CF2B557F1D96}"/>
    <hyperlink ref="AV27" r:id="rId88" xr:uid="{8601828A-5821-41F4-B067-2C1F5E684719}"/>
    <hyperlink ref="AL27" r:id="rId89" xr:uid="{B34D5AE2-417D-4E85-9E26-221E7177DF21}"/>
    <hyperlink ref="AN28" r:id="rId90" display="https://redparamount.ca/wp-content/uploads/2025/02/NI43_101_for-the-LacVirot-Project_FINAL_FEB-19-2025.pdf" xr:uid="{7CAC787A-0E1A-4149-92FA-07A8ED02356A}"/>
    <hyperlink ref="AW28" r:id="rId91" xr:uid="{A38545F8-6B0F-4065-BECD-F5FA5D7D83D9}"/>
    <hyperlink ref="AJ28" r:id="rId92" xr:uid="{C7C7B4DF-E492-4ECE-A2A3-CBAC8FE69F65}"/>
    <hyperlink ref="AW29" r:id="rId93" xr:uid="{AE90ED36-9F92-446A-8DE6-75C002A80F43}"/>
    <hyperlink ref="R9" r:id="rId94" xr:uid="{2BE9BA01-4EB8-4579-9F8A-7E0519DEC1B1}"/>
    <hyperlink ref="AJ9" r:id="rId95" xr:uid="{7DD2C112-00E5-4254-B844-5570ED8C2F9D}"/>
    <hyperlink ref="C22" r:id="rId96" xr:uid="{B1018B3D-7B11-45C9-B365-863CAF29196D}"/>
    <hyperlink ref="A22" r:id="rId97" xr:uid="{1A55BA8A-20F7-4B21-B3D7-3BD584F577B6}"/>
    <hyperlink ref="AW33" r:id="rId98" xr:uid="{E8324397-A25E-4AFD-A1E9-27907B9ECD0F}"/>
    <hyperlink ref="AJ33" r:id="rId99" xr:uid="{0385CCC1-2289-450E-880B-300717B4B32C}"/>
    <hyperlink ref="A32" r:id="rId100" xr:uid="{8276C7AC-649C-46DF-BC8A-C4B4E40F6196}"/>
    <hyperlink ref="C32" r:id="rId101" xr:uid="{6DC54AF1-B404-4EA5-976C-3CE7880EBCDD}"/>
    <hyperlink ref="AW32" r:id="rId102" xr:uid="{16E061C0-5ED5-46CE-A8CB-8C6A36721602}"/>
    <hyperlink ref="R32" r:id="rId103" xr:uid="{0C34E882-99AD-43A8-B5A8-6568B0889303}"/>
    <hyperlink ref="AV34" r:id="rId104" xr:uid="{EE8BC0ED-1B78-448A-A5FB-27F487D2B616}"/>
    <hyperlink ref="A35" r:id="rId105" xr:uid="{0101C99A-1039-486C-8078-0E902F5C57E5}"/>
    <hyperlink ref="R35" r:id="rId106" xr:uid="{509597EF-30A4-4150-8A30-F578246CB52C}"/>
    <hyperlink ref="C35" r:id="rId107" xr:uid="{1909DACE-B32F-4433-A45B-C101F9C906BA}"/>
    <hyperlink ref="C34" r:id="rId108" xr:uid="{D0E16C8B-035B-4297-A74F-54C4FD865E5A}"/>
    <hyperlink ref="A34" r:id="rId109" xr:uid="{FBFB397E-6028-48F4-8CC7-A8FE36B7D23E}"/>
    <hyperlink ref="AL35" r:id="rId110" xr:uid="{607F40B0-1DA5-4512-A68E-A33F4F98229C}"/>
    <hyperlink ref="AL34" r:id="rId111" xr:uid="{6476369E-82C9-4191-A937-E77E232C2AF6}"/>
    <hyperlink ref="C4" r:id="rId112" xr:uid="{818D2066-61AD-4BF4-BC14-82FA24F8F571}"/>
    <hyperlink ref="A4" r:id="rId113" xr:uid="{D34CFD58-B4CE-4251-8562-5086F1189293}"/>
    <hyperlink ref="R37" r:id="rId114" xr:uid="{8CFFE47B-78A9-44E8-9612-0D04CD66E0B7}"/>
    <hyperlink ref="AW37" r:id="rId115" xr:uid="{CFD41CAF-74B9-4BC7-9060-424983E79B29}"/>
    <hyperlink ref="AJ37" r:id="rId116" xr:uid="{4439ACC1-FECE-4B79-A46C-04E2F5D18435}"/>
    <hyperlink ref="A37" r:id="rId117" xr:uid="{F9ED255B-310F-475B-8407-A75567E93CD7}"/>
    <hyperlink ref="C37" r:id="rId118" xr:uid="{64FE2C68-89CE-42DA-BD6A-13B3E27309BD}"/>
    <hyperlink ref="R38" r:id="rId119" xr:uid="{F906F311-251E-4AF8-B266-98D3F260C2E9}"/>
    <hyperlink ref="R40" r:id="rId120" xr:uid="{5D0F5E5F-A7ED-4834-A498-EB3225A981A4}"/>
    <hyperlink ref="A40" r:id="rId121" xr:uid="{97C3DCA7-70BC-4EEB-86C0-9EEA58243574}"/>
    <hyperlink ref="A7" r:id="rId122" xr:uid="{C1FBE2EA-72FA-447B-8D16-E677855AF880}"/>
    <hyperlink ref="C7" r:id="rId123" xr:uid="{45526475-B9B3-444A-B321-71049D406C93}"/>
    <hyperlink ref="R39" r:id="rId124" xr:uid="{9F5BFC1E-DD24-4F4D-9119-FA6C5EE9E314}"/>
    <hyperlink ref="R22" r:id="rId125" xr:uid="{B2513EDA-2E9F-4D81-8C23-3D2BA0FC89FA}"/>
    <hyperlink ref="AL22" r:id="rId126" xr:uid="{06BE71BF-AC2A-4738-8C98-2E618A59CBA6}"/>
    <hyperlink ref="R12" r:id="rId127" xr:uid="{2998ED78-C2F3-482B-986E-FB38D8276269}"/>
    <hyperlink ref="AW12" r:id="rId128" xr:uid="{D79BD766-FD3D-4309-9C07-4678544441D1}"/>
    <hyperlink ref="AL12" r:id="rId129" xr:uid="{FD0759A3-2A5F-4782-8790-E2138BE5F63B}"/>
    <hyperlink ref="A12" r:id="rId130" xr:uid="{74A3FE93-9691-4F48-A433-E6D484926B08}"/>
    <hyperlink ref="C12" r:id="rId131" xr:uid="{15ACACEC-E2D6-4D0F-B6AA-DF55881BF286}"/>
    <hyperlink ref="R19" r:id="rId132" xr:uid="{C2B2F0C9-BE01-4574-A956-8CAE04E1D914}"/>
    <hyperlink ref="AV19" r:id="rId133" xr:uid="{56F04260-5DCF-4843-8C66-99379E0AC502}"/>
    <hyperlink ref="AJ19" r:id="rId134" xr:uid="{FF497DAF-58FC-45A5-B585-80963B810D2C}"/>
    <hyperlink ref="C20" r:id="rId135" xr:uid="{50C6FAF7-A075-4E6D-A7DF-4FD2EB231576}"/>
    <hyperlink ref="R20" r:id="rId136" xr:uid="{6CE4BB50-2F3F-4007-A0AC-3155005EE12B}"/>
    <hyperlink ref="C21" r:id="rId137" xr:uid="{437F6919-9B41-4C8E-B856-FEBE91DB9E83}"/>
    <hyperlink ref="R21" r:id="rId138" xr:uid="{59D26363-B95B-4C32-9E39-66212BDCD832}"/>
    <hyperlink ref="A20" r:id="rId139" xr:uid="{AA01E7AD-D383-4383-96DE-54F4F0ED7D81}"/>
    <hyperlink ref="A21" r:id="rId140" xr:uid="{EA4606A8-03B4-46D8-BEC7-FC7864443D7C}"/>
    <hyperlink ref="AF20" r:id="rId141" display="https://www.angloamerican.com/~/media/Files/A/Anglo-American-Group-v9/PLC/investors/results-centre-and-presentations/anglo-american-hy25-results-presentation.pdf" xr:uid="{D63DC8FB-6E7C-45A8-BA3D-FD2988FB809E}"/>
    <hyperlink ref="AF21" r:id="rId142" display="https://www.angloamerican.com/~/media/Files/A/Anglo-American-Group-v9/PLC/investors/results-centre-and-presentations/anglo-american-hy25-results-presentation.pdf" xr:uid="{F53B095C-E499-4328-8DE0-090A7656D9B0}"/>
    <hyperlink ref="R24" r:id="rId143" xr:uid="{95954525-A3CC-458F-B493-914674BC563A}"/>
    <hyperlink ref="AL24" r:id="rId144" xr:uid="{C71575C0-50D3-4523-98B0-E8947464BFCB}"/>
    <hyperlink ref="R15" r:id="rId145" xr:uid="{114D5EC3-B2A8-404B-A1DF-ABA818E12B0A}"/>
    <hyperlink ref="AJ15" r:id="rId146" xr:uid="{302F51B0-688D-41E7-806D-E32AE82592DB}"/>
    <hyperlink ref="AW15" r:id="rId147" xr:uid="{DDBB56E5-2599-4E27-910F-79AF121FEDCB}"/>
    <hyperlink ref="R41" r:id="rId148" xr:uid="{F43731C2-B131-4B5C-8FAA-5F383E70B0AB}"/>
    <hyperlink ref="C41" r:id="rId149" xr:uid="{698EC481-175B-4EEE-9730-5858A92B2AB2}"/>
    <hyperlink ref="R34" r:id="rId150" location=":~:text=The%20state%20of%20Bahia%20lies,(332.369%20tons/year). " xr:uid="{368EB6E0-8229-40E5-B564-AED8DFBDF646}"/>
    <hyperlink ref="A30" r:id="rId151" xr:uid="{BFBB56E0-E92E-4FBB-B0A4-2FF2F86D5EBF}"/>
    <hyperlink ref="AJ42" r:id="rId152" xr:uid="{613F6D78-6BFA-4B7E-B6F0-53A11A46902B}"/>
    <hyperlink ref="R42" r:id="rId153" xr:uid="{D720245F-D461-4856-923F-AABBCCA9B953}"/>
    <hyperlink ref="AL42" r:id="rId154" location=":~:text=Home-,Wood%20secures%20contract%20on%20early%20Cameroon%20mining%20project,requiring%20complex%20engineering%20design%20solutions. " xr:uid="{A1C07BF8-5772-426E-BA41-12BCDDD3BE2F}"/>
    <hyperlink ref="AV42" r:id="rId155" xr:uid="{F18E4B19-69E4-4A1D-8BC9-9BE07824963F}"/>
    <hyperlink ref="A41" r:id="rId156" xr:uid="{CED95F23-7B11-4A49-A47E-883E7A2D9AA9}"/>
    <hyperlink ref="R43" r:id="rId157" xr:uid="{11B1C974-A96E-46B1-9C1C-170AF40C6678}"/>
    <hyperlink ref="C43" r:id="rId158" xr:uid="{7B4B3622-34C5-4120-B27F-1228DCCC3921}"/>
    <hyperlink ref="A43" r:id="rId159" xr:uid="{95A58F00-A97C-4165-BF7D-56AF1751058A}"/>
    <hyperlink ref="AJ43" r:id="rId160" xr:uid="{B63C0BA5-7BC2-46D2-BCD8-C98786394989}"/>
    <hyperlink ref="C44" r:id="rId161" xr:uid="{7BBBF52F-FC61-4518-8F4B-F851AA58502E}"/>
    <hyperlink ref="R44" r:id="rId162" xr:uid="{0C5DA3CE-7664-4964-8D06-8ADAC0AA0A1E}"/>
    <hyperlink ref="AV44" r:id="rId163" xr:uid="{3C9B0A39-4BBB-4D42-91FC-7131E744B542}"/>
    <hyperlink ref="AJ36" r:id="rId164" xr:uid="{E9150EC6-6F59-4B10-9231-CB8E07AF799B}"/>
    <hyperlink ref="AJ31" r:id="rId165" xr:uid="{D33240C0-EBEA-4DA3-8C76-3FB73D4960EB}"/>
    <hyperlink ref="AJ44" r:id="rId166" xr:uid="{35B7A811-5B63-46C7-8F7B-A7C27A66128C}"/>
    <hyperlink ref="AL44" r:id="rId167" xr:uid="{C086EB96-1FF8-46F9-8E15-9B6FBE452804}"/>
    <hyperlink ref="A44" r:id="rId168" xr:uid="{50F37419-9ADE-44DA-9B32-DEFE521D9A7F}"/>
    <hyperlink ref="C45" r:id="rId169" xr:uid="{2D45E6D1-B7E6-4184-84C0-B53FB3100689}"/>
    <hyperlink ref="A45" r:id="rId170" xr:uid="{B4ACBDF3-1C11-47D6-BFF6-19FB3195C06D}"/>
    <hyperlink ref="R45" r:id="rId171" location="geology " xr:uid="{377FE1D7-611C-4FAF-AC62-3D03CAD58DBD}"/>
    <hyperlink ref="AL45" r:id="rId172" xr:uid="{B03F9FD2-A768-4399-9369-C12C09FAFE50}"/>
    <hyperlink ref="AW45" r:id="rId173" xr:uid="{828D83C3-E4BB-4F5F-8DFA-668BFCF265A3}"/>
    <hyperlink ref="AJ45" r:id="rId174" xr:uid="{C713496C-98EF-47EA-BDA8-B9B8FC02F7CC}"/>
    <hyperlink ref="R10" r:id="rId175" xr:uid="{5E0A963A-E25D-487E-99CA-919D463EF52F}"/>
    <hyperlink ref="R4" r:id="rId176" xr:uid="{A0F17272-71BB-4A03-A37D-D24D78FC6C41}"/>
    <hyperlink ref="S4" r:id="rId177" display="https://portergeo.com.au/database/mineinfo.php?mineid=mn1158" xr:uid="{0BDF247B-51AF-4806-ABA7-1E6CFA1B977D}"/>
    <hyperlink ref="AW9" r:id="rId178" xr:uid="{F741740E-84DE-4EFE-8E90-6B688C442B29}"/>
    <hyperlink ref="AW7" r:id="rId179" xr:uid="{0646A817-D7E0-4142-9D41-564DAB2A1C39}"/>
    <hyperlink ref="AR11" r:id="rId180" display="https://img1.wsimg.com/blobby/go/361b3a26-41ef-4cf5-a8fa-3bd92d5dc622/downloads/2e7b4551-f83a-4d4f-9737-0e1649c8fc26/MagIron Announces Completion of Feasibility St.pdf?v=021508?ver=1768426688799%20https://img1.wsimg.com/blobby/go/361b3a26-41ef-4cf5-a8fa-3bd92d5dc622/downloads/54edfe9b-40fc-4735-a4e1-7594430c4cee/24-001%20MagIron%20(Plant%204)%20Executive%20Summary%2013%20.pdf?v=021508?ver=1768426688799" xr:uid="{17E2660A-C7F7-483E-ADB8-1801C527BDDB}"/>
    <hyperlink ref="AW14" r:id="rId181" xr:uid="{D712A64C-80E1-4BFA-8AF3-80640DD3BE25}"/>
    <hyperlink ref="AL4" r:id="rId182" xr:uid="{7A891884-E194-4B2B-8A3C-51E6D62DA52C}"/>
    <hyperlink ref="AV12" r:id="rId183" xr:uid="{236B634C-8C81-4E3D-BA6C-9F539A8BAD22}"/>
    <hyperlink ref="C33" r:id="rId184" xr:uid="{9271121E-6AB1-49BC-A96E-FE1CF6980E92}"/>
    <hyperlink ref="A33" r:id="rId185" xr:uid="{2D7F3478-098F-4DA9-B125-F340C0A02B44}"/>
    <hyperlink ref="C30" r:id="rId186" xr:uid="{57268CE6-7B74-43CD-A33C-F21BECA7845F}"/>
    <hyperlink ref="R46" r:id="rId187" xr:uid="{8ECCCDC4-EC9C-4D0D-87EF-02A8F4B36BAA}"/>
    <hyperlink ref="C46" r:id="rId188" xr:uid="{F5585B5F-3AD2-4585-A89C-9EC3EEB1121E}"/>
    <hyperlink ref="A46" r:id="rId189" xr:uid="{C572A138-9BCD-4714-9821-26AB3007838C}"/>
    <hyperlink ref="R47" r:id="rId190" xr:uid="{430602CC-3887-45DB-A6E4-870EB916F4F8}"/>
    <hyperlink ref="C47" r:id="rId191" xr:uid="{C91C3548-BA4F-4FD9-848E-26AAFF1D3B15}"/>
    <hyperlink ref="A47" r:id="rId192" xr:uid="{3A1CCFFF-9552-4139-BDBA-37410CE5A28D}"/>
    <hyperlink ref="R29" r:id="rId193" xr:uid="{EC375428-679C-4135-BB35-6D414F7865FC}"/>
    <hyperlink ref="C29" r:id="rId194" xr:uid="{6A3F2728-93F0-4937-A11F-8C8DC8CF26C5}"/>
    <hyperlink ref="A29" r:id="rId195" xr:uid="{E02F39AD-96A1-4024-9BB6-1E20BD8E1740}"/>
    <hyperlink ref="R48" r:id="rId196" xr:uid="{FA3087B7-C3B6-4C0A-BA47-3877D5108658}"/>
    <hyperlink ref="C48" r:id="rId197" xr:uid="{E2763592-2F46-4CBD-B10A-1EA9C2BCAE61}"/>
    <hyperlink ref="A48" r:id="rId198" xr:uid="{AF697A91-5D57-4778-9697-D9B425C2E5CA}"/>
    <hyperlink ref="AN48" r:id="rId199" display="https://wcsecure.weblink.com.au/pdf/IRD/02079052.pdf" xr:uid="{1C2401DD-83FC-4197-AD17-1EA6E6BBA911}"/>
    <hyperlink ref="AJ48" r:id="rId200" xr:uid="{F60EAB51-0ADA-489E-B9CB-4B9339931792}"/>
    <hyperlink ref="AL48" r:id="rId201" xr:uid="{D4EA301C-F0F8-4F05-ABE3-F02A80DAFD78}"/>
    <hyperlink ref="R49" r:id="rId202" xr:uid="{7745A582-8CA4-4BF0-8A34-2768AE1BDC83}"/>
    <hyperlink ref="C49" r:id="rId203" xr:uid="{E1B41A8B-221C-43A3-9C1E-97061491816A}"/>
    <hyperlink ref="A49" r:id="rId204" xr:uid="{D59D8AD0-F162-4DD6-9777-299E903B30B0}"/>
    <hyperlink ref="AJ49" r:id="rId205" xr:uid="{60F16ABC-884F-45F8-95AD-375941F8D499}"/>
    <hyperlink ref="AL49" r:id="rId206" xr:uid="{169944F0-1CBD-4321-9044-14B91233A675}"/>
    <hyperlink ref="AV49" r:id="rId207" xr:uid="{10F4B42F-1452-4705-AC07-DD453056086C}"/>
    <hyperlink ref="AN50" r:id="rId208" display="https://announcements.asx.com.au/asxpdf/20220321/pdf/45767f9j59nd4m.pdf" xr:uid="{19D937F7-A4DD-4F81-8AC7-EFE1A5F56FA9}"/>
    <hyperlink ref="AV50" r:id="rId209" xr:uid="{6171D956-CE52-4AA7-AF39-903965FC4796}"/>
    <hyperlink ref="C50" r:id="rId210" xr:uid="{5BAD9F07-F811-487F-816A-25A554F09D0D}"/>
    <hyperlink ref="AL50" r:id="rId211" xr:uid="{031CBC8D-3848-4EEC-84BE-33715318F1FD}"/>
    <hyperlink ref="R50" r:id="rId212" xr:uid="{49BA9EB8-2568-4A36-989A-25E51E21ADB0}"/>
    <hyperlink ref="AJ50" r:id="rId213" xr:uid="{1E446AC6-0A16-4D08-AFDE-BAA3BACA41B5}"/>
    <hyperlink ref="R51" r:id="rId214" xr:uid="{8F7C0194-4468-4A31-A7E4-A1C83F19B6DD}"/>
    <hyperlink ref="AN51" r:id="rId215" display="https://athenaresources.com.au/wp-content/uploads/2024/05/Athena-Scoping-Study-May-2024-web8893-1.pdf" xr:uid="{B2EA7E9D-5274-4AD0-864C-7627AD71466A}"/>
    <hyperlink ref="AJ51" r:id="rId216" xr:uid="{255D009A-1BE1-465A-A018-B2AD8F2D7592}"/>
    <hyperlink ref="C51" r:id="rId217" xr:uid="{A4E0940E-ED33-4ED3-8C7F-1313D06B9042}"/>
    <hyperlink ref="A51" r:id="rId218" xr:uid="{BABC8428-DC8A-42F4-8C05-3E400EF3DE28}"/>
    <hyperlink ref="AL51" r:id="rId219" xr:uid="{22120616-A314-45E8-BB4D-D8C3A7E2D8E1}"/>
    <hyperlink ref="AV51" r:id="rId220" xr:uid="{3381A85B-93EE-4842-97E4-BB4AAF64F950}"/>
    <hyperlink ref="C52" r:id="rId221" xr:uid="{CD994913-2B76-46EC-8CCA-D8E9B9F0AA30}"/>
    <hyperlink ref="A52" r:id="rId222" xr:uid="{9E26F626-11E9-4C0C-9BF6-216DEB742886}"/>
    <hyperlink ref="R52" r:id="rId223" xr:uid="{56F8EA6C-C56B-40E4-A44D-4B1CD251AB25}"/>
    <hyperlink ref="AN52" r:id="rId224" display="https://announcements.asx.com.au/asxpdf/20210705/pdf/44y0fwc23vzhn0.pdf" xr:uid="{6ED68AD7-5EB3-4CB4-92F1-3E481354ABF8}"/>
    <hyperlink ref="AV52" r:id="rId225" xr:uid="{6195218D-4DEF-4CEB-ABD5-17092FEF3660}"/>
    <hyperlink ref="AJ52" r:id="rId226" xr:uid="{EB5B2F34-8FD0-4C57-88FD-C9A2AFBD6FE2}"/>
    <hyperlink ref="AL52" r:id="rId227" xr:uid="{38F67B06-6511-4CBB-8DCF-8DDA65B1BC11}"/>
    <hyperlink ref="R53" r:id="rId228" xr:uid="{4212EC10-DA77-468F-B5D7-FE362769BEE8}"/>
    <hyperlink ref="A53" r:id="rId229" xr:uid="{DDF8910C-13B3-41B7-A6A2-0B8DFFFFD64B}"/>
    <hyperlink ref="AL53" r:id="rId230" xr:uid="{73501B80-95D3-44CC-BA0E-B0ED6FD929D6}"/>
    <hyperlink ref="C53" r:id="rId231" xr:uid="{017C3E72-08EE-4E7C-9422-684D126019BE}"/>
    <hyperlink ref="AJ53" r:id="rId232" xr:uid="{61409893-C29E-4AEE-971C-1613F538810F}"/>
    <hyperlink ref="C54" r:id="rId233" xr:uid="{B1BFE6DD-6ABF-4C74-9F11-5AA37BC8F3FB}"/>
    <hyperlink ref="A54" r:id="rId234" xr:uid="{75F3A263-C48B-4707-AE12-C2A375EABEC6}"/>
    <hyperlink ref="R54" r:id="rId235" xr:uid="{94BECF19-C53B-47A7-94D1-15491563A2AC}"/>
    <hyperlink ref="AJ54" r:id="rId236" xr:uid="{11A3300B-F9F7-4019-BE63-69C91BC339BE}"/>
    <hyperlink ref="AL54" r:id="rId237" xr:uid="{7CEBB9D8-B130-4FBF-88E9-9B5D0B5B8B8F}"/>
    <hyperlink ref="A2" r:id="rId238" xr:uid="{3C82B790-4FC4-49AE-B79E-7DB06FB4DD0C}"/>
    <hyperlink ref="A3" r:id="rId239" xr:uid="{1BE6F0B1-2A34-4DCE-A102-81A749C02E2C}"/>
    <hyperlink ref="A6" r:id="rId240" xr:uid="{7AAC904C-6500-43D7-85B1-8FF8B69C95A9}"/>
    <hyperlink ref="A8" r:id="rId241" xr:uid="{E8AFE907-2821-4D43-B957-256C06077194}"/>
    <hyperlink ref="A9" r:id="rId242" xr:uid="{DD96C85B-6C80-46D5-8C87-AB42B988C5A2}"/>
    <hyperlink ref="A10" r:id="rId243" xr:uid="{527A38A9-6C00-4F05-A28A-FB96BB944A38}"/>
    <hyperlink ref="A15" r:id="rId244" xr:uid="{399D4488-95B3-4529-88B2-B782DD84D31A}"/>
    <hyperlink ref="A27" r:id="rId245" xr:uid="{8A1EE4F5-F643-4E47-AC5F-C01BC563FC1A}"/>
    <hyperlink ref="A28" r:id="rId246" xr:uid="{F3423781-FF16-4038-9CDF-B05AF865D5FE}"/>
    <hyperlink ref="A31" r:id="rId247" xr:uid="{F99516B5-D600-4E5D-8CCF-607C5F242EAA}"/>
    <hyperlink ref="A38" r:id="rId248" xr:uid="{2E74D5CC-6DC9-40F9-B468-A354A188694F}"/>
    <hyperlink ref="A42" r:id="rId249" xr:uid="{CE2EAB10-B272-454C-AE74-A8D5627821B2}"/>
    <hyperlink ref="A50" r:id="rId250" xr:uid="{0C0BD2FD-C190-48ED-89EC-1A6326C2F37D}"/>
  </hyperlinks>
  <pageMargins left="0.7" right="0.7" top="0.75" bottom="0.75" header="0.3" footer="0.3"/>
  <pageSetup paperSize="9" orientation="portrait" r:id="rId251"/>
  <legacyDrawing r:id="rId25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71A06-42EA-4347-B7EB-A4090625C9EE}">
  <dimension ref="A1:H22"/>
  <sheetViews>
    <sheetView showGridLines="0" topLeftCell="A3" workbookViewId="0">
      <selection activeCell="J17" sqref="J17"/>
    </sheetView>
  </sheetViews>
  <sheetFormatPr defaultRowHeight="15" x14ac:dyDescent="0.25"/>
  <cols>
    <col min="1" max="1" width="21.5703125" customWidth="1"/>
    <col min="2" max="2" width="53.28515625" bestFit="1" customWidth="1"/>
    <col min="3" max="4" width="5.28515625" bestFit="1" customWidth="1"/>
    <col min="5" max="8" width="9" style="53" customWidth="1"/>
    <col min="9" max="9" width="10.28515625" bestFit="1" customWidth="1"/>
    <col min="10" max="10" width="30.28515625" bestFit="1" customWidth="1"/>
    <col min="11" max="11" width="10.85546875" bestFit="1" customWidth="1"/>
  </cols>
  <sheetData>
    <row r="1" spans="1:8" ht="21" x14ac:dyDescent="0.35">
      <c r="A1" s="52" t="s">
        <v>710</v>
      </c>
    </row>
    <row r="2" spans="1:8" ht="21" x14ac:dyDescent="0.35">
      <c r="A2" s="52"/>
    </row>
    <row r="3" spans="1:8" ht="18.75" x14ac:dyDescent="0.3">
      <c r="A3" s="51" t="s">
        <v>630</v>
      </c>
    </row>
    <row r="4" spans="1:8" x14ac:dyDescent="0.25">
      <c r="A4" s="1" t="s">
        <v>628</v>
      </c>
    </row>
    <row r="5" spans="1:8" ht="15.75" thickBot="1" x14ac:dyDescent="0.3">
      <c r="A5" s="58" t="s">
        <v>613</v>
      </c>
      <c r="B5" s="58" t="s">
        <v>427</v>
      </c>
      <c r="C5" s="58"/>
      <c r="D5" s="59" t="s">
        <v>424</v>
      </c>
      <c r="E5" s="59" t="s">
        <v>158</v>
      </c>
      <c r="F5" s="59" t="s">
        <v>159</v>
      </c>
      <c r="G5" s="59" t="s">
        <v>160</v>
      </c>
      <c r="H5" s="59" t="s">
        <v>161</v>
      </c>
    </row>
    <row r="6" spans="1:8" ht="15.75" thickTop="1" x14ac:dyDescent="0.25">
      <c r="A6" s="54" t="s">
        <v>617</v>
      </c>
      <c r="B6" s="54" t="s">
        <v>612</v>
      </c>
      <c r="C6" s="54"/>
      <c r="D6" s="55">
        <v>67</v>
      </c>
      <c r="E6" s="55">
        <v>2.5</v>
      </c>
      <c r="F6" s="55">
        <v>0.5</v>
      </c>
      <c r="G6" s="55">
        <v>0.03</v>
      </c>
      <c r="H6" s="55">
        <v>0.01</v>
      </c>
    </row>
    <row r="7" spans="1:8" x14ac:dyDescent="0.25">
      <c r="A7" s="54" t="s">
        <v>616</v>
      </c>
      <c r="B7" s="54" t="s">
        <v>1263</v>
      </c>
      <c r="C7" s="54"/>
      <c r="D7" s="55">
        <v>67.5</v>
      </c>
      <c r="E7" s="55">
        <v>1.5</v>
      </c>
      <c r="F7" s="55">
        <v>0.5</v>
      </c>
      <c r="G7" s="56" t="s">
        <v>620</v>
      </c>
      <c r="H7" s="55"/>
    </row>
    <row r="8" spans="1:8" x14ac:dyDescent="0.25">
      <c r="A8" s="54" t="s">
        <v>615</v>
      </c>
      <c r="B8" s="54" t="s">
        <v>1264</v>
      </c>
      <c r="C8" s="54"/>
      <c r="D8" s="55">
        <v>65</v>
      </c>
      <c r="E8" s="55">
        <v>5</v>
      </c>
      <c r="F8" s="55">
        <v>0.35</v>
      </c>
      <c r="G8" s="55">
        <v>0.02</v>
      </c>
      <c r="H8" s="57">
        <v>3.0000000000000001E-3</v>
      </c>
    </row>
    <row r="9" spans="1:8" x14ac:dyDescent="0.25">
      <c r="A9" s="54" t="s">
        <v>614</v>
      </c>
      <c r="B9" s="54" t="s">
        <v>1265</v>
      </c>
      <c r="C9" s="54"/>
      <c r="D9" s="55">
        <v>63</v>
      </c>
      <c r="E9" s="55">
        <v>3.5</v>
      </c>
      <c r="F9" s="55">
        <v>3</v>
      </c>
      <c r="G9" s="55">
        <v>7.0000000000000007E-2</v>
      </c>
      <c r="H9" s="55">
        <v>8.0000000000000002E-3</v>
      </c>
    </row>
    <row r="10" spans="1:8" x14ac:dyDescent="0.25">
      <c r="A10" s="60"/>
    </row>
    <row r="11" spans="1:8" ht="18.75" x14ac:dyDescent="0.3">
      <c r="A11" s="51" t="s">
        <v>629</v>
      </c>
    </row>
    <row r="12" spans="1:8" x14ac:dyDescent="0.25">
      <c r="A12" s="1" t="s">
        <v>631</v>
      </c>
    </row>
    <row r="13" spans="1:8" ht="15.75" thickBot="1" x14ac:dyDescent="0.3">
      <c r="A13" s="58" t="s">
        <v>613</v>
      </c>
      <c r="B13" s="58" t="s">
        <v>427</v>
      </c>
      <c r="C13" s="58"/>
      <c r="D13" s="59" t="s">
        <v>424</v>
      </c>
      <c r="E13" s="59" t="s">
        <v>158</v>
      </c>
      <c r="F13" s="59" t="s">
        <v>159</v>
      </c>
      <c r="G13" s="59" t="s">
        <v>160</v>
      </c>
      <c r="H13" s="59" t="s">
        <v>161</v>
      </c>
    </row>
    <row r="14" spans="1:8" ht="15.75" thickTop="1" x14ac:dyDescent="0.25">
      <c r="A14" s="54"/>
      <c r="B14" s="54"/>
      <c r="C14" s="62" t="s">
        <v>622</v>
      </c>
      <c r="D14" s="55">
        <v>63</v>
      </c>
      <c r="E14" s="55"/>
      <c r="F14" s="55"/>
      <c r="G14" s="55"/>
      <c r="H14" s="55"/>
    </row>
    <row r="15" spans="1:8" x14ac:dyDescent="0.25">
      <c r="A15" s="54" t="s">
        <v>624</v>
      </c>
      <c r="B15" s="54" t="s">
        <v>625</v>
      </c>
      <c r="C15" s="62" t="s">
        <v>621</v>
      </c>
      <c r="D15" s="55">
        <v>65</v>
      </c>
      <c r="E15" s="55">
        <v>6</v>
      </c>
      <c r="F15" s="55">
        <v>0.5</v>
      </c>
      <c r="G15" s="55">
        <v>0.02</v>
      </c>
      <c r="H15" s="55">
        <v>0.03</v>
      </c>
    </row>
    <row r="16" spans="1:8" ht="15.75" thickBot="1" x14ac:dyDescent="0.3">
      <c r="A16" s="65"/>
      <c r="B16" s="65"/>
      <c r="C16" s="66" t="s">
        <v>623</v>
      </c>
      <c r="D16" s="67">
        <v>66</v>
      </c>
      <c r="E16" s="67">
        <v>9</v>
      </c>
      <c r="F16" s="67">
        <v>2</v>
      </c>
      <c r="G16" s="67">
        <v>0.1</v>
      </c>
      <c r="H16" s="67">
        <v>0.1</v>
      </c>
    </row>
    <row r="17" spans="1:8" ht="15.75" thickTop="1" x14ac:dyDescent="0.25">
      <c r="A17" s="63"/>
      <c r="B17" s="63"/>
      <c r="C17" s="61" t="s">
        <v>622</v>
      </c>
      <c r="D17" s="64">
        <v>60</v>
      </c>
      <c r="E17" s="64"/>
      <c r="F17" s="64"/>
      <c r="G17" s="64"/>
      <c r="H17" s="64"/>
    </row>
    <row r="18" spans="1:8" x14ac:dyDescent="0.25">
      <c r="A18" s="54" t="s">
        <v>618</v>
      </c>
      <c r="B18" s="54" t="s">
        <v>619</v>
      </c>
      <c r="C18" s="62" t="s">
        <v>621</v>
      </c>
      <c r="D18" s="55">
        <v>65</v>
      </c>
      <c r="E18" s="55">
        <v>4.5</v>
      </c>
      <c r="F18" s="55">
        <v>0.4</v>
      </c>
      <c r="G18" s="55">
        <v>0.03</v>
      </c>
      <c r="H18" s="55">
        <v>0.01</v>
      </c>
    </row>
    <row r="19" spans="1:8" x14ac:dyDescent="0.25">
      <c r="A19" s="65"/>
      <c r="B19" s="65"/>
      <c r="C19" s="66" t="s">
        <v>623</v>
      </c>
      <c r="D19" s="67">
        <v>70</v>
      </c>
      <c r="E19" s="67">
        <v>6</v>
      </c>
      <c r="F19" s="67">
        <v>3.5</v>
      </c>
      <c r="G19" s="67">
        <v>0.08</v>
      </c>
      <c r="H19" s="67">
        <v>0.02</v>
      </c>
    </row>
    <row r="20" spans="1:8" x14ac:dyDescent="0.25">
      <c r="A20" s="54"/>
      <c r="B20" s="54"/>
      <c r="C20" s="62" t="s">
        <v>622</v>
      </c>
      <c r="D20" s="55">
        <v>66</v>
      </c>
      <c r="E20" s="55"/>
      <c r="F20" s="55"/>
      <c r="G20" s="55"/>
      <c r="H20" s="55"/>
    </row>
    <row r="21" spans="1:8" x14ac:dyDescent="0.25">
      <c r="A21" s="54" t="s">
        <v>627</v>
      </c>
      <c r="B21" s="54" t="s">
        <v>626</v>
      </c>
      <c r="C21" s="62" t="s">
        <v>621</v>
      </c>
      <c r="D21" s="55">
        <v>67.5</v>
      </c>
      <c r="E21" s="55">
        <v>3</v>
      </c>
      <c r="F21" s="55">
        <v>0.5</v>
      </c>
      <c r="G21" s="55">
        <v>0.02</v>
      </c>
      <c r="H21" s="55">
        <v>0.03</v>
      </c>
    </row>
    <row r="22" spans="1:8" x14ac:dyDescent="0.25">
      <c r="A22" s="54"/>
      <c r="B22" s="54"/>
      <c r="C22" s="62" t="s">
        <v>623</v>
      </c>
      <c r="D22" s="55">
        <v>70</v>
      </c>
      <c r="E22" s="55">
        <v>6</v>
      </c>
      <c r="F22" s="55">
        <v>1.5</v>
      </c>
      <c r="G22" s="55">
        <v>0.06</v>
      </c>
      <c r="H22" s="55">
        <v>0.1</v>
      </c>
    </row>
  </sheetData>
  <hyperlinks>
    <hyperlink ref="A12" r:id="rId1" xr:uid="{652D919F-0CA6-4F94-82CE-15A33B24D841}"/>
    <hyperlink ref="A4" r:id="rId2" xr:uid="{E93CC5A8-BCDC-4D95-B395-564DC68C66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Ironmaking value chain</vt:lpstr>
      <vt:lpstr>Magnetite desposits</vt:lpstr>
      <vt:lpstr>Potential DR-grade supply</vt:lpstr>
      <vt:lpstr>High-grade iron ore indices</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Soroush Basirat</dc:creator>
  <cp:lastModifiedBy>Soroush Basirat</cp:lastModifiedBy>
  <dcterms:created xsi:type="dcterms:W3CDTF">2025-03-20T23:14:02Z</dcterms:created>
  <dcterms:modified xsi:type="dcterms:W3CDTF">2026-04-10T04:17:05Z</dcterms:modified>
</cp:coreProperties>
</file>